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067"/>
  <workbookPr defaultThemeVersion="124226"/>
  <mc:AlternateContent xmlns:mc="http://schemas.openxmlformats.org/markup-compatibility/2006">
    <mc:Choice Requires="x15">
      <x15ac:absPath xmlns:x15ac="http://schemas.microsoft.com/office/spreadsheetml/2010/11/ac" url="D:\Users\Anton Rahmadi\Desktop\"/>
    </mc:Choice>
  </mc:AlternateContent>
  <bookViews>
    <workbookView xWindow="0" yWindow="0" windowWidth="20490" windowHeight="8820" tabRatio="689" activeTab="9"/>
  </bookViews>
  <sheets>
    <sheet name="F 1" sheetId="1" r:id="rId1"/>
    <sheet name="hitung F1" sheetId="11" r:id="rId2"/>
    <sheet name="F2" sheetId="2" r:id="rId3"/>
    <sheet name="F 3" sheetId="3" r:id="rId4"/>
    <sheet name="hitung F3" sheetId="12" r:id="rId5"/>
    <sheet name="F 4" sheetId="4" r:id="rId6"/>
    <sheet name="F5" sheetId="5" r:id="rId7"/>
    <sheet name="F6" sheetId="6" r:id="rId8"/>
    <sheet name="F 7" sheetId="7" r:id="rId9"/>
    <sheet name="F 8" sheetId="8" r:id="rId10"/>
    <sheet name="F 9" sheetId="9" r:id="rId11"/>
    <sheet name="hasil desk&amp;akhir" sheetId="10" r:id="rId12"/>
  </sheets>
  <definedNames>
    <definedName name="_Toc206868236" localSheetId="2">'F2'!$A$1</definedName>
    <definedName name="_xlnm.Print_Area" localSheetId="0">'F 1'!$A$1:$F$121</definedName>
    <definedName name="_xlnm.Print_Area" localSheetId="3">'F 3'!$A$1:$F$63</definedName>
    <definedName name="_xlnm.Print_Area" localSheetId="5">'F 4'!$A$1:$E$121</definedName>
    <definedName name="_xlnm.Print_Area" localSheetId="8">'F 7'!$A$1:$G$33</definedName>
    <definedName name="_xlnm.Print_Area" localSheetId="9">'F 8'!$A$1:$G$61</definedName>
    <definedName name="_xlnm.Print_Area" localSheetId="10">'F 9'!$A$1:$I$116</definedName>
    <definedName name="_xlnm.Print_Area" localSheetId="2">'F2'!$A$1:$E$36</definedName>
    <definedName name="_xlnm.Print_Area" localSheetId="6">'F5'!$A$1:$E$65</definedName>
    <definedName name="_xlnm.Print_Area" localSheetId="7">'F6'!$A$1:$G$120</definedName>
    <definedName name="_xlnm.Print_Titles" localSheetId="0">'F 1'!$12:$12</definedName>
    <definedName name="_xlnm.Print_Titles" localSheetId="3">'F 3'!$11:$11</definedName>
    <definedName name="_xlnm.Print_Titles" localSheetId="5">'F 4'!$8:$8</definedName>
    <definedName name="_xlnm.Print_Titles" localSheetId="8">'F 7'!$8:$9</definedName>
    <definedName name="_xlnm.Print_Titles" localSheetId="9">'F 8'!$8:$9</definedName>
    <definedName name="_xlnm.Print_Titles" localSheetId="2">'F2'!$11:$12</definedName>
    <definedName name="_xlnm.Print_Titles" localSheetId="6">'F5'!$8:$8</definedName>
    <definedName name="_xlnm.Print_Titles" localSheetId="7">'F6'!$8:$10</definedName>
  </definedNames>
  <calcPr calcId="171027"/>
</workbook>
</file>

<file path=xl/calcChain.xml><?xml version="1.0" encoding="utf-8"?>
<calcChain xmlns="http://schemas.openxmlformats.org/spreadsheetml/2006/main">
  <c r="F24" i="7" l="1"/>
  <c r="F23" i="7"/>
  <c r="F21" i="7"/>
  <c r="F20" i="7"/>
  <c r="F19" i="7"/>
  <c r="F17" i="7"/>
  <c r="F16" i="7"/>
  <c r="F15" i="7"/>
  <c r="F14" i="7"/>
  <c r="F12" i="7"/>
  <c r="F11" i="7"/>
  <c r="G201" i="12"/>
  <c r="D45" i="3" s="1"/>
  <c r="G634" i="11"/>
  <c r="D104" i="1" s="1"/>
  <c r="G305" i="11"/>
  <c r="G160" i="11"/>
  <c r="D36" i="1" s="1"/>
  <c r="G149" i="11"/>
  <c r="D34" i="1" s="1"/>
  <c r="C30" i="4" s="1"/>
  <c r="G282" i="11"/>
  <c r="E341" i="11"/>
  <c r="F113" i="6"/>
  <c r="F55" i="8" s="1"/>
  <c r="A112" i="9"/>
  <c r="E112" i="9"/>
  <c r="F57" i="8"/>
  <c r="A57" i="8"/>
  <c r="F29" i="7"/>
  <c r="A29" i="7"/>
  <c r="E5" i="6"/>
  <c r="E4" i="6"/>
  <c r="D4" i="7" s="1"/>
  <c r="D4" i="9"/>
  <c r="E3" i="6"/>
  <c r="D64" i="5"/>
  <c r="D61" i="5"/>
  <c r="D56" i="5"/>
  <c r="D62" i="3"/>
  <c r="D59" i="3"/>
  <c r="D57" i="3"/>
  <c r="D9" i="3"/>
  <c r="D8" i="3"/>
  <c r="D7" i="3"/>
  <c r="D6" i="3"/>
  <c r="D5" i="3"/>
  <c r="D35" i="2"/>
  <c r="D32" i="2"/>
  <c r="D30" i="2"/>
  <c r="C9" i="2"/>
  <c r="C8" i="2"/>
  <c r="C7" i="2"/>
  <c r="C6" i="2"/>
  <c r="C5" i="2"/>
  <c r="D28" i="2"/>
  <c r="C28" i="2"/>
  <c r="D25" i="7"/>
  <c r="C24" i="7"/>
  <c r="E24" i="7" s="1"/>
  <c r="C23" i="7"/>
  <c r="E23" i="7" s="1"/>
  <c r="C21" i="7"/>
  <c r="E21" i="7" s="1"/>
  <c r="C20" i="7"/>
  <c r="E20" i="7" s="1"/>
  <c r="C19" i="7"/>
  <c r="E19" i="7" s="1"/>
  <c r="C17" i="7"/>
  <c r="E17" i="7"/>
  <c r="C16" i="7"/>
  <c r="E16" i="7" s="1"/>
  <c r="C15" i="7"/>
  <c r="E15" i="7"/>
  <c r="C14" i="7"/>
  <c r="C12" i="7"/>
  <c r="E12" i="7" s="1"/>
  <c r="C11" i="7"/>
  <c r="E11" i="7" s="1"/>
  <c r="G152" i="12"/>
  <c r="D30" i="3" s="1"/>
  <c r="G147" i="12"/>
  <c r="D21" i="3"/>
  <c r="C18" i="5"/>
  <c r="G62" i="12"/>
  <c r="G54" i="12"/>
  <c r="D19" i="3" s="1"/>
  <c r="G695" i="11"/>
  <c r="D112" i="1" s="1"/>
  <c r="G688" i="11"/>
  <c r="D111" i="1" s="1"/>
  <c r="C107" i="4" s="1"/>
  <c r="G665" i="11"/>
  <c r="G627" i="11"/>
  <c r="G619" i="11"/>
  <c r="G608" i="11"/>
  <c r="D100" i="1" s="1"/>
  <c r="C96" i="4" s="1"/>
  <c r="G602" i="11"/>
  <c r="G590" i="11"/>
  <c r="G594" i="11"/>
  <c r="D98" i="1" s="1"/>
  <c r="C94" i="4" s="1"/>
  <c r="G586" i="11"/>
  <c r="D96" i="1" s="1"/>
  <c r="D85" i="1"/>
  <c r="C81" i="4" s="1"/>
  <c r="G480" i="11"/>
  <c r="D82" i="1" s="1"/>
  <c r="F80" i="6" s="1"/>
  <c r="G468" i="11"/>
  <c r="D80" i="1" s="1"/>
  <c r="G443" i="11"/>
  <c r="D76" i="1" s="1"/>
  <c r="F74" i="6" s="1"/>
  <c r="G336" i="11"/>
  <c r="D61" i="1" s="1"/>
  <c r="G328" i="11"/>
  <c r="G314" i="11"/>
  <c r="D58" i="1" s="1"/>
  <c r="F56" i="6" s="1"/>
  <c r="G279" i="11"/>
  <c r="G243" i="11"/>
  <c r="D47" i="1"/>
  <c r="E207" i="11"/>
  <c r="G157" i="11"/>
  <c r="D35" i="1" s="1"/>
  <c r="E111" i="11"/>
  <c r="G108" i="11" s="1"/>
  <c r="D28" i="1" s="1"/>
  <c r="C24" i="4" s="1"/>
  <c r="G117" i="12"/>
  <c r="F116" i="12"/>
  <c r="F115" i="12"/>
  <c r="F114" i="12"/>
  <c r="F113" i="12"/>
  <c r="F112" i="12"/>
  <c r="F111" i="12"/>
  <c r="F110" i="12"/>
  <c r="F109" i="12"/>
  <c r="F108" i="12"/>
  <c r="F107" i="12"/>
  <c r="F106" i="12"/>
  <c r="F105" i="12"/>
  <c r="F104" i="12"/>
  <c r="F103" i="12"/>
  <c r="F102" i="12"/>
  <c r="F101" i="12"/>
  <c r="F100" i="12"/>
  <c r="F99" i="12"/>
  <c r="F97" i="12"/>
  <c r="F96" i="12"/>
  <c r="D55" i="3"/>
  <c r="C52" i="5" s="1"/>
  <c r="D54" i="3"/>
  <c r="C51" i="5" s="1"/>
  <c r="D53" i="3"/>
  <c r="C50" i="5" s="1"/>
  <c r="D50" i="3"/>
  <c r="C47" i="5" s="1"/>
  <c r="D47" i="3"/>
  <c r="C44" i="5" s="1"/>
  <c r="D46" i="3"/>
  <c r="C43" i="5" s="1"/>
  <c r="D44" i="3"/>
  <c r="C41" i="5" s="1"/>
  <c r="D43" i="3"/>
  <c r="C40" i="5" s="1"/>
  <c r="D42" i="3"/>
  <c r="C39" i="5" s="1"/>
  <c r="D41" i="3"/>
  <c r="C38" i="5" s="1"/>
  <c r="D40" i="3"/>
  <c r="C37" i="5" s="1"/>
  <c r="D39" i="3"/>
  <c r="C36" i="5" s="1"/>
  <c r="D38" i="3"/>
  <c r="C35" i="5" s="1"/>
  <c r="D37" i="3"/>
  <c r="D33" i="3"/>
  <c r="C30" i="5" s="1"/>
  <c r="D32" i="3"/>
  <c r="C29" i="5" s="1"/>
  <c r="D31" i="3"/>
  <c r="C28" i="5" s="1"/>
  <c r="C27" i="5"/>
  <c r="D29" i="3"/>
  <c r="D27" i="3"/>
  <c r="C24" i="5"/>
  <c r="D25" i="3"/>
  <c r="C22" i="5"/>
  <c r="D24" i="3"/>
  <c r="C21" i="5"/>
  <c r="D23" i="3"/>
  <c r="C20" i="5"/>
  <c r="D20" i="3"/>
  <c r="C17" i="5"/>
  <c r="C16" i="5"/>
  <c r="D18" i="3"/>
  <c r="C15" i="5" s="1"/>
  <c r="D17" i="3"/>
  <c r="C14" i="5" s="1"/>
  <c r="D16" i="3"/>
  <c r="D15" i="3"/>
  <c r="C12" i="5" s="1"/>
  <c r="D14" i="3"/>
  <c r="C11" i="5" s="1"/>
  <c r="D13" i="3"/>
  <c r="C10" i="5" s="1"/>
  <c r="D12" i="3"/>
  <c r="C9" i="5" s="1"/>
  <c r="E199" i="12"/>
  <c r="E196" i="12"/>
  <c r="F43" i="3" s="1"/>
  <c r="E153" i="12"/>
  <c r="F30" i="3" s="1"/>
  <c r="K28" i="8" s="1"/>
  <c r="E132" i="12"/>
  <c r="E76" i="12"/>
  <c r="F21" i="3" s="1"/>
  <c r="E89" i="12"/>
  <c r="E44" i="12"/>
  <c r="F17" i="3" s="1"/>
  <c r="C15" i="8" s="1"/>
  <c r="E15" i="8" s="1"/>
  <c r="E37" i="12"/>
  <c r="E23" i="12"/>
  <c r="E16" i="12"/>
  <c r="E9" i="12"/>
  <c r="F12" i="3" s="1"/>
  <c r="C10" i="8" s="1"/>
  <c r="E10" i="8" s="1"/>
  <c r="J10" i="8" s="1"/>
  <c r="L6" i="10" s="1"/>
  <c r="E632" i="11"/>
  <c r="E600" i="11"/>
  <c r="E528" i="11"/>
  <c r="E271" i="11"/>
  <c r="F51" i="1" s="1"/>
  <c r="K49" i="6" s="1"/>
  <c r="E99" i="11"/>
  <c r="D110" i="1"/>
  <c r="D108" i="1"/>
  <c r="F102" i="6"/>
  <c r="D103" i="1"/>
  <c r="D102" i="1"/>
  <c r="C98" i="4" s="1"/>
  <c r="D101" i="1"/>
  <c r="C97" i="4"/>
  <c r="D99" i="1"/>
  <c r="C95" i="4" s="1"/>
  <c r="D97" i="1"/>
  <c r="D95" i="1"/>
  <c r="D94" i="1"/>
  <c r="F92" i="6" s="1"/>
  <c r="D89" i="1"/>
  <c r="C85" i="4" s="1"/>
  <c r="D88" i="1"/>
  <c r="D87" i="1"/>
  <c r="C83" i="4" s="1"/>
  <c r="D86" i="1"/>
  <c r="D84" i="1"/>
  <c r="F82" i="6"/>
  <c r="D83" i="1"/>
  <c r="D81" i="1"/>
  <c r="F78" i="6"/>
  <c r="D78" i="1"/>
  <c r="F76" i="6" s="1"/>
  <c r="D77" i="1"/>
  <c r="C73" i="4" s="1"/>
  <c r="D75" i="1"/>
  <c r="D73" i="1"/>
  <c r="C69" i="4"/>
  <c r="D72" i="1"/>
  <c r="C68" i="4"/>
  <c r="D71" i="1"/>
  <c r="C67" i="4"/>
  <c r="D70" i="1"/>
  <c r="D69" i="1"/>
  <c r="C65" i="4" s="1"/>
  <c r="D68" i="1"/>
  <c r="D64" i="1"/>
  <c r="F62" i="6"/>
  <c r="D63" i="1"/>
  <c r="D62" i="1"/>
  <c r="D60" i="1"/>
  <c r="D59" i="1"/>
  <c r="C55" i="4" s="1"/>
  <c r="D57" i="1"/>
  <c r="C53" i="4" s="1"/>
  <c r="D56" i="1"/>
  <c r="D54" i="1"/>
  <c r="D53" i="1"/>
  <c r="D51" i="1"/>
  <c r="C47" i="4" s="1"/>
  <c r="D48" i="1"/>
  <c r="F46" i="6" s="1"/>
  <c r="D41" i="1"/>
  <c r="C37" i="4" s="1"/>
  <c r="D40" i="1"/>
  <c r="D39" i="1"/>
  <c r="D38" i="1"/>
  <c r="D37" i="1"/>
  <c r="C33" i="4" s="1"/>
  <c r="C31" i="4"/>
  <c r="D33" i="1"/>
  <c r="D32" i="1"/>
  <c r="C28" i="4" s="1"/>
  <c r="D31" i="1"/>
  <c r="C27" i="4" s="1"/>
  <c r="D30" i="1"/>
  <c r="C26" i="4"/>
  <c r="D27" i="1"/>
  <c r="D26" i="1"/>
  <c r="D21" i="1"/>
  <c r="C17" i="4"/>
  <c r="D20" i="1"/>
  <c r="D19" i="1"/>
  <c r="C15" i="4" s="1"/>
  <c r="D18" i="1"/>
  <c r="D17" i="1"/>
  <c r="C13" i="4" s="1"/>
  <c r="D16" i="1"/>
  <c r="D15" i="1"/>
  <c r="C11" i="4" s="1"/>
  <c r="D14" i="1"/>
  <c r="D13" i="1"/>
  <c r="F11" i="6" s="1"/>
  <c r="E700" i="11"/>
  <c r="F112" i="1" s="1"/>
  <c r="H112" i="1" s="1"/>
  <c r="B105" i="10" s="1"/>
  <c r="E693" i="11"/>
  <c r="F111" i="1" s="1"/>
  <c r="H111" i="1" s="1"/>
  <c r="B104" i="10" s="1"/>
  <c r="E670" i="11"/>
  <c r="F108" i="1" s="1"/>
  <c r="E606" i="11"/>
  <c r="E576" i="11"/>
  <c r="F94" i="1" s="1"/>
  <c r="E460" i="11"/>
  <c r="E521" i="11"/>
  <c r="F87" i="1" s="1"/>
  <c r="E514" i="11"/>
  <c r="E507" i="11"/>
  <c r="F85" i="1" s="1"/>
  <c r="H85" i="1" s="1"/>
  <c r="B78" i="10" s="1"/>
  <c r="E500" i="11"/>
  <c r="F84" i="1" s="1"/>
  <c r="K82" i="6" s="1"/>
  <c r="E476" i="11"/>
  <c r="E410" i="11"/>
  <c r="E406" i="11"/>
  <c r="F70" i="1" s="1"/>
  <c r="E390" i="11"/>
  <c r="F68" i="1" s="1"/>
  <c r="E382" i="11"/>
  <c r="G379" i="11" s="1"/>
  <c r="D67" i="1" s="1"/>
  <c r="E376" i="11"/>
  <c r="G373" i="11" s="1"/>
  <c r="D66" i="1"/>
  <c r="C62" i="4" s="1"/>
  <c r="E326" i="11"/>
  <c r="E276" i="11"/>
  <c r="G273" i="11" s="1"/>
  <c r="D52" i="1" s="1"/>
  <c r="C48" i="4" s="1"/>
  <c r="E262" i="11"/>
  <c r="E251" i="11"/>
  <c r="E154" i="11"/>
  <c r="E106" i="11"/>
  <c r="E37" i="11"/>
  <c r="F17" i="1" s="1"/>
  <c r="H17" i="1" s="1"/>
  <c r="B10" i="10" s="1"/>
  <c r="E30" i="11"/>
  <c r="E23" i="11"/>
  <c r="F15" i="1" s="1"/>
  <c r="E16" i="11"/>
  <c r="E9" i="11"/>
  <c r="F13" i="1" s="1"/>
  <c r="C11" i="6" s="1"/>
  <c r="E11" i="6" s="1"/>
  <c r="J11" i="6" s="1"/>
  <c r="K6" i="10" s="1"/>
  <c r="E227" i="12"/>
  <c r="E226" i="12"/>
  <c r="E229" i="12" s="1"/>
  <c r="E230" i="12" s="1"/>
  <c r="F49" i="3" s="1"/>
  <c r="E225" i="12"/>
  <c r="E219" i="12"/>
  <c r="E218" i="12"/>
  <c r="E217" i="12"/>
  <c r="E174" i="12"/>
  <c r="G173" i="12" s="1"/>
  <c r="D36" i="3" s="1"/>
  <c r="C33" i="5" s="1"/>
  <c r="E170" i="12"/>
  <c r="E166" i="12"/>
  <c r="G165" i="12" s="1"/>
  <c r="D34" i="3" s="1"/>
  <c r="F32" i="8" s="1"/>
  <c r="E548" i="11"/>
  <c r="E541" i="11"/>
  <c r="E540" i="11"/>
  <c r="E539" i="11"/>
  <c r="E283" i="11"/>
  <c r="E255" i="11"/>
  <c r="E254" i="11"/>
  <c r="E90" i="11"/>
  <c r="E240" i="12"/>
  <c r="G235" i="12" s="1"/>
  <c r="E138" i="12"/>
  <c r="G127" i="12" s="1"/>
  <c r="D26" i="3" s="1"/>
  <c r="C23" i="5" s="1"/>
  <c r="E258" i="12"/>
  <c r="F55" i="3" s="1"/>
  <c r="K53" i="8" s="1"/>
  <c r="E255" i="12"/>
  <c r="F54" i="3" s="1"/>
  <c r="K52" i="8" s="1"/>
  <c r="E252" i="12"/>
  <c r="F53" i="3" s="1"/>
  <c r="E233" i="12"/>
  <c r="F50" i="3" s="1"/>
  <c r="K48" i="8" s="1"/>
  <c r="E214" i="12"/>
  <c r="F47" i="3" s="1"/>
  <c r="C45" i="8" s="1"/>
  <c r="E45" i="8" s="1"/>
  <c r="E211" i="12"/>
  <c r="F46" i="3" s="1"/>
  <c r="F44" i="3"/>
  <c r="H44" i="3" s="1"/>
  <c r="C38" i="10" s="1"/>
  <c r="K41" i="8"/>
  <c r="E193" i="12"/>
  <c r="F42" i="3" s="1"/>
  <c r="C40" i="8" s="1"/>
  <c r="E40" i="8" s="1"/>
  <c r="E190" i="12"/>
  <c r="F41" i="3" s="1"/>
  <c r="E187" i="12"/>
  <c r="F40" i="3" s="1"/>
  <c r="C38" i="8" s="1"/>
  <c r="E38" i="8" s="1"/>
  <c r="J38" i="8" s="1"/>
  <c r="L34" i="10" s="1"/>
  <c r="E184" i="12"/>
  <c r="F39" i="3" s="1"/>
  <c r="K37" i="8"/>
  <c r="E181" i="12"/>
  <c r="F38" i="3" s="1"/>
  <c r="C36" i="8" s="1"/>
  <c r="E36" i="8" s="1"/>
  <c r="E178" i="12"/>
  <c r="F37" i="3" s="1"/>
  <c r="K35" i="8" s="1"/>
  <c r="E159" i="12"/>
  <c r="F32" i="3"/>
  <c r="C30" i="8" s="1"/>
  <c r="E30" i="8" s="1"/>
  <c r="E156" i="12"/>
  <c r="F31" i="3" s="1"/>
  <c r="K29" i="8" s="1"/>
  <c r="F27" i="3"/>
  <c r="K25" i="8" s="1"/>
  <c r="E125" i="12"/>
  <c r="F25" i="3" s="1"/>
  <c r="H25" i="3" s="1"/>
  <c r="C19" i="10" s="1"/>
  <c r="F23" i="3"/>
  <c r="H23" i="3" s="1"/>
  <c r="C17" i="10" s="1"/>
  <c r="K19" i="8"/>
  <c r="E68" i="12"/>
  <c r="F20" i="3" s="1"/>
  <c r="C18" i="8" s="1"/>
  <c r="E18" i="8" s="1"/>
  <c r="E60" i="12"/>
  <c r="F19" i="3" s="1"/>
  <c r="H19" i="3" s="1"/>
  <c r="C13" i="10" s="1"/>
  <c r="E52" i="12"/>
  <c r="F18" i="3"/>
  <c r="C16" i="8" s="1"/>
  <c r="E16" i="8" s="1"/>
  <c r="F16" i="3"/>
  <c r="H16" i="3" s="1"/>
  <c r="C10" i="10" s="1"/>
  <c r="E30" i="12"/>
  <c r="F15" i="3" s="1"/>
  <c r="F14" i="3"/>
  <c r="C12" i="8"/>
  <c r="E12" i="8" s="1"/>
  <c r="F13" i="3"/>
  <c r="H13" i="3" s="1"/>
  <c r="C7" i="10"/>
  <c r="E686" i="11"/>
  <c r="F110" i="1" s="1"/>
  <c r="C106" i="6"/>
  <c r="E106" i="6" s="1"/>
  <c r="F103" i="1"/>
  <c r="K101" i="6" s="1"/>
  <c r="E625" i="11"/>
  <c r="F102" i="1" s="1"/>
  <c r="F99" i="1"/>
  <c r="H99" i="1" s="1"/>
  <c r="F98" i="1"/>
  <c r="H98" i="1"/>
  <c r="B91" i="10" s="1"/>
  <c r="E584" i="11"/>
  <c r="F95" i="1"/>
  <c r="H94" i="1"/>
  <c r="B87" i="10" s="1"/>
  <c r="E536" i="11"/>
  <c r="F89" i="1" s="1"/>
  <c r="K87" i="6" s="1"/>
  <c r="F88" i="1"/>
  <c r="K86" i="6" s="1"/>
  <c r="H87" i="1"/>
  <c r="B80" i="10" s="1"/>
  <c r="F86" i="1"/>
  <c r="E493" i="11"/>
  <c r="F83" i="1" s="1"/>
  <c r="F81" i="1"/>
  <c r="F78" i="1"/>
  <c r="E452" i="11"/>
  <c r="F77" i="1" s="1"/>
  <c r="K75" i="6"/>
  <c r="E441" i="11"/>
  <c r="F75" i="1"/>
  <c r="E427" i="11"/>
  <c r="F73" i="1" s="1"/>
  <c r="K71" i="6"/>
  <c r="E419" i="11"/>
  <c r="F72" i="1"/>
  <c r="E398" i="11"/>
  <c r="F69" i="1"/>
  <c r="E365" i="11"/>
  <c r="F64" i="1" s="1"/>
  <c r="H64" i="1"/>
  <c r="B57" i="10" s="1"/>
  <c r="E357" i="11"/>
  <c r="F63" i="1" s="1"/>
  <c r="K61" i="6" s="1"/>
  <c r="E349" i="11"/>
  <c r="F62" i="1" s="1"/>
  <c r="F61" i="1"/>
  <c r="F59" i="1"/>
  <c r="H59" i="1"/>
  <c r="B52" i="10" s="1"/>
  <c r="E312" i="11"/>
  <c r="F57" i="1" s="1"/>
  <c r="K55" i="6" s="1"/>
  <c r="E303" i="11"/>
  <c r="F56" i="1" s="1"/>
  <c r="F48" i="1"/>
  <c r="H48" i="1" s="1"/>
  <c r="B41" i="10"/>
  <c r="E201" i="11"/>
  <c r="F41" i="1"/>
  <c r="K39" i="6" s="1"/>
  <c r="E193" i="11"/>
  <c r="F40" i="1" s="1"/>
  <c r="E185" i="11"/>
  <c r="F39" i="1" s="1"/>
  <c r="K37" i="6" s="1"/>
  <c r="E177" i="11"/>
  <c r="F38" i="1" s="1"/>
  <c r="H38" i="1" s="1"/>
  <c r="E169" i="11"/>
  <c r="F37" i="1" s="1"/>
  <c r="K35" i="6" s="1"/>
  <c r="E147" i="11"/>
  <c r="F33" i="1" s="1"/>
  <c r="E139" i="11"/>
  <c r="F32" i="1" s="1"/>
  <c r="E127" i="11"/>
  <c r="F30" i="1" s="1"/>
  <c r="F27" i="1"/>
  <c r="F26" i="1"/>
  <c r="C24" i="6" s="1"/>
  <c r="E24" i="6" s="1"/>
  <c r="E69" i="11"/>
  <c r="F21" i="1" s="1"/>
  <c r="C19" i="6" s="1"/>
  <c r="E19" i="6" s="1"/>
  <c r="E61" i="11"/>
  <c r="F20" i="1"/>
  <c r="E53" i="11"/>
  <c r="F19" i="1"/>
  <c r="C17" i="6" s="1"/>
  <c r="E17" i="6" s="1"/>
  <c r="E45" i="11"/>
  <c r="F18" i="1" s="1"/>
  <c r="H18" i="1" s="1"/>
  <c r="B11" i="10"/>
  <c r="F16" i="1"/>
  <c r="H16" i="1" s="1"/>
  <c r="B9" i="10"/>
  <c r="F14" i="1"/>
  <c r="E163" i="12"/>
  <c r="F33" i="3" s="1"/>
  <c r="E129" i="12"/>
  <c r="F26" i="3" s="1"/>
  <c r="E639" i="11"/>
  <c r="E640" i="11" s="1"/>
  <c r="F104" i="1" s="1"/>
  <c r="C102" i="6"/>
  <c r="E102" i="6" s="1"/>
  <c r="J102" i="6" s="1"/>
  <c r="K97" i="10" s="1"/>
  <c r="E609" i="11"/>
  <c r="E444" i="11"/>
  <c r="F76" i="1" s="1"/>
  <c r="K74" i="6" s="1"/>
  <c r="F284" i="11"/>
  <c r="E277" i="11"/>
  <c r="F52" i="1"/>
  <c r="C50" i="6" s="1"/>
  <c r="E50" i="6" s="1"/>
  <c r="E161" i="11"/>
  <c r="E158" i="11"/>
  <c r="F35" i="1" s="1"/>
  <c r="K33" i="6" s="1"/>
  <c r="E130" i="11"/>
  <c r="E131" i="11" s="1"/>
  <c r="F31" i="1" s="1"/>
  <c r="H31" i="1" s="1"/>
  <c r="E74" i="11"/>
  <c r="G27" i="2"/>
  <c r="G26" i="2"/>
  <c r="E16" i="10" s="1"/>
  <c r="G24" i="2"/>
  <c r="E15" i="10"/>
  <c r="G23" i="2"/>
  <c r="E14" i="10"/>
  <c r="G22" i="2"/>
  <c r="E13" i="10"/>
  <c r="G20" i="2"/>
  <c r="G19" i="2"/>
  <c r="E11" i="10" s="1"/>
  <c r="G18" i="2"/>
  <c r="G17" i="2"/>
  <c r="E9" i="10" s="1"/>
  <c r="G15" i="2"/>
  <c r="E8" i="10" s="1"/>
  <c r="G14" i="2"/>
  <c r="E248" i="12"/>
  <c r="E206" i="12"/>
  <c r="E207" i="12" s="1"/>
  <c r="F45" i="3" s="1"/>
  <c r="F160" i="11"/>
  <c r="F205" i="12"/>
  <c r="F204" i="12"/>
  <c r="F203" i="12"/>
  <c r="F202" i="12"/>
  <c r="E175" i="12"/>
  <c r="F36" i="3" s="1"/>
  <c r="H36" i="3"/>
  <c r="C30" i="10" s="1"/>
  <c r="K31" i="8"/>
  <c r="F162" i="12"/>
  <c r="E287" i="11"/>
  <c r="E144" i="12"/>
  <c r="F128" i="12"/>
  <c r="E81" i="12"/>
  <c r="G78" i="12" s="1"/>
  <c r="D22" i="3" s="1"/>
  <c r="C19" i="5" s="1"/>
  <c r="E677" i="11"/>
  <c r="G672" i="11" s="1"/>
  <c r="D109" i="1" s="1"/>
  <c r="E662" i="11"/>
  <c r="E654" i="11"/>
  <c r="G651" i="11" s="1"/>
  <c r="D106" i="1" s="1"/>
  <c r="C102" i="4" s="1"/>
  <c r="E648" i="11"/>
  <c r="E591" i="11"/>
  <c r="E592" i="11" s="1"/>
  <c r="F97" i="1"/>
  <c r="E587" i="11"/>
  <c r="E588" i="11"/>
  <c r="F96" i="1" s="1"/>
  <c r="E556" i="11"/>
  <c r="G553" i="11" s="1"/>
  <c r="D92" i="1" s="1"/>
  <c r="C88" i="4" s="1"/>
  <c r="E550" i="11"/>
  <c r="E551" i="11" s="1"/>
  <c r="F91" i="1" s="1"/>
  <c r="E542" i="11"/>
  <c r="E544" i="11" s="1"/>
  <c r="E545" i="11" s="1"/>
  <c r="F90" i="1" s="1"/>
  <c r="E484" i="11"/>
  <c r="E481" i="11"/>
  <c r="E485" i="11" s="1"/>
  <c r="F82" i="1" s="1"/>
  <c r="E469" i="11"/>
  <c r="F80" i="1"/>
  <c r="H80" i="1" s="1"/>
  <c r="B73" i="10" s="1"/>
  <c r="E465" i="11"/>
  <c r="G462" i="11" s="1"/>
  <c r="D79" i="1" s="1"/>
  <c r="E466" i="11"/>
  <c r="F79" i="1" s="1"/>
  <c r="E432" i="11"/>
  <c r="G429" i="11" s="1"/>
  <c r="D74" i="1" s="1"/>
  <c r="E383" i="11"/>
  <c r="F67" i="1" s="1"/>
  <c r="K65" i="6" s="1"/>
  <c r="E370" i="11"/>
  <c r="E333" i="11"/>
  <c r="E334" i="11" s="1"/>
  <c r="F60" i="1" s="1"/>
  <c r="E318" i="11"/>
  <c r="E319" i="11" s="1"/>
  <c r="F58" i="1" s="1"/>
  <c r="E280" i="11"/>
  <c r="F53" i="1" s="1"/>
  <c r="E244" i="11"/>
  <c r="F47" i="1" s="1"/>
  <c r="C45" i="6" s="1"/>
  <c r="E45" i="6" s="1"/>
  <c r="E227" i="11"/>
  <c r="E221" i="11"/>
  <c r="G218" i="11" s="1"/>
  <c r="E222" i="11"/>
  <c r="F44" i="1" s="1"/>
  <c r="C42" i="6" s="1"/>
  <c r="E42" i="6" s="1"/>
  <c r="J42" i="6" s="1"/>
  <c r="K37" i="10" s="1"/>
  <c r="F129" i="11"/>
  <c r="E118" i="11"/>
  <c r="E112" i="11"/>
  <c r="F28" i="1" s="1"/>
  <c r="C26" i="6" s="1"/>
  <c r="E26" i="6" s="1"/>
  <c r="J26" i="6"/>
  <c r="E80" i="11"/>
  <c r="G77" i="11" s="1"/>
  <c r="D23" i="1" s="1"/>
  <c r="C19" i="4" s="1"/>
  <c r="E81" i="11"/>
  <c r="F23" i="1" s="1"/>
  <c r="H23" i="1" s="1"/>
  <c r="B16" i="10" s="1"/>
  <c r="E236" i="11"/>
  <c r="E213" i="11"/>
  <c r="K12" i="7"/>
  <c r="K14" i="7"/>
  <c r="K15" i="7"/>
  <c r="K16" i="7"/>
  <c r="K17" i="7"/>
  <c r="K19" i="7"/>
  <c r="K20" i="7"/>
  <c r="K21" i="7"/>
  <c r="K22" i="7"/>
  <c r="K23" i="7"/>
  <c r="K24" i="7"/>
  <c r="K11" i="7"/>
  <c r="C100" i="4"/>
  <c r="C90" i="4"/>
  <c r="C80" i="4"/>
  <c r="C78" i="4"/>
  <c r="C76" i="4"/>
  <c r="C74" i="4"/>
  <c r="C72" i="4"/>
  <c r="C60" i="4"/>
  <c r="C44" i="4"/>
  <c r="E565" i="11"/>
  <c r="G559" i="11" s="1"/>
  <c r="D93" i="1" s="1"/>
  <c r="C89" i="4" s="1"/>
  <c r="E564" i="11"/>
  <c r="E411" i="11"/>
  <c r="F71" i="1" s="1"/>
  <c r="K69" i="6" s="1"/>
  <c r="E294" i="11"/>
  <c r="I11" i="8"/>
  <c r="I12" i="8"/>
  <c r="I13" i="8"/>
  <c r="I14" i="8"/>
  <c r="I15" i="8"/>
  <c r="I16" i="8"/>
  <c r="I17" i="8"/>
  <c r="I18" i="8"/>
  <c r="I19" i="8"/>
  <c r="I20" i="8"/>
  <c r="I21" i="8"/>
  <c r="I22" i="8"/>
  <c r="I23" i="8"/>
  <c r="I24" i="8"/>
  <c r="I25" i="8"/>
  <c r="I26" i="8"/>
  <c r="I27" i="8"/>
  <c r="I28" i="8"/>
  <c r="I29" i="8"/>
  <c r="I30" i="8"/>
  <c r="I31" i="8"/>
  <c r="I32" i="8"/>
  <c r="I33" i="8"/>
  <c r="I34" i="8"/>
  <c r="I35" i="8"/>
  <c r="I36" i="8"/>
  <c r="I37" i="8"/>
  <c r="I38" i="8"/>
  <c r="I39" i="8"/>
  <c r="I40" i="8"/>
  <c r="I41" i="8"/>
  <c r="I42" i="8"/>
  <c r="I43" i="8"/>
  <c r="I44" i="8"/>
  <c r="I45" i="8"/>
  <c r="I46" i="8"/>
  <c r="I47" i="8"/>
  <c r="I48" i="8"/>
  <c r="I49" i="8"/>
  <c r="I50" i="8"/>
  <c r="I51" i="8"/>
  <c r="I52" i="8"/>
  <c r="I53" i="8"/>
  <c r="I10" i="8"/>
  <c r="I12" i="7"/>
  <c r="J12" i="7" s="1"/>
  <c r="N8" i="10" s="1"/>
  <c r="I14" i="7"/>
  <c r="I15" i="7"/>
  <c r="I16" i="7"/>
  <c r="I17" i="7"/>
  <c r="J17" i="7" s="1"/>
  <c r="N12" i="10" s="1"/>
  <c r="I19" i="7"/>
  <c r="I20" i="7"/>
  <c r="I21" i="7"/>
  <c r="I23" i="7"/>
  <c r="J23" i="7" s="1"/>
  <c r="N16" i="10" s="1"/>
  <c r="I24" i="7"/>
  <c r="I11" i="7"/>
  <c r="I12" i="6"/>
  <c r="I13" i="6"/>
  <c r="I14" i="6"/>
  <c r="I15" i="6"/>
  <c r="I16" i="6"/>
  <c r="I17" i="6"/>
  <c r="I18" i="6"/>
  <c r="I19" i="6"/>
  <c r="I20" i="6"/>
  <c r="I21" i="6"/>
  <c r="I22" i="6"/>
  <c r="I23" i="6"/>
  <c r="I24" i="6"/>
  <c r="I25" i="6"/>
  <c r="I26" i="6"/>
  <c r="I27" i="6"/>
  <c r="I28" i="6"/>
  <c r="I29" i="6"/>
  <c r="I30" i="6"/>
  <c r="I31" i="6"/>
  <c r="I32" i="6"/>
  <c r="I33" i="6"/>
  <c r="I34" i="6"/>
  <c r="I35" i="6"/>
  <c r="I36" i="6"/>
  <c r="I37" i="6"/>
  <c r="I38" i="6"/>
  <c r="I39" i="6"/>
  <c r="I40" i="6"/>
  <c r="I41" i="6"/>
  <c r="I42" i="6"/>
  <c r="I43" i="6"/>
  <c r="I44" i="6"/>
  <c r="I45" i="6"/>
  <c r="I46" i="6"/>
  <c r="I47" i="6"/>
  <c r="I48" i="6"/>
  <c r="I49" i="6"/>
  <c r="I50" i="6"/>
  <c r="I51" i="6"/>
  <c r="I52" i="6"/>
  <c r="I53" i="6"/>
  <c r="I54" i="6"/>
  <c r="I55" i="6"/>
  <c r="I56" i="6"/>
  <c r="I57" i="6"/>
  <c r="I58" i="6"/>
  <c r="I59" i="6"/>
  <c r="I60" i="6"/>
  <c r="I61" i="6"/>
  <c r="I62" i="6"/>
  <c r="I63" i="6"/>
  <c r="I64" i="6"/>
  <c r="I65" i="6"/>
  <c r="I66" i="6"/>
  <c r="I67" i="6"/>
  <c r="I68" i="6"/>
  <c r="I69" i="6"/>
  <c r="I70" i="6"/>
  <c r="I71" i="6"/>
  <c r="I72" i="6"/>
  <c r="I73" i="6"/>
  <c r="I74" i="6"/>
  <c r="I75" i="6"/>
  <c r="I76" i="6"/>
  <c r="I77" i="6"/>
  <c r="I78" i="6"/>
  <c r="I79" i="6"/>
  <c r="I80" i="6"/>
  <c r="I81" i="6"/>
  <c r="I82" i="6"/>
  <c r="I83" i="6"/>
  <c r="I84" i="6"/>
  <c r="I85" i="6"/>
  <c r="I86" i="6"/>
  <c r="I87" i="6"/>
  <c r="I88" i="6"/>
  <c r="I89" i="6"/>
  <c r="I90" i="6"/>
  <c r="I91" i="6"/>
  <c r="I92" i="6"/>
  <c r="I93" i="6"/>
  <c r="I94" i="6"/>
  <c r="I95" i="6"/>
  <c r="I96" i="6"/>
  <c r="I97" i="6"/>
  <c r="I98" i="6"/>
  <c r="I99" i="6"/>
  <c r="I100" i="6"/>
  <c r="I101" i="6"/>
  <c r="I102" i="6"/>
  <c r="I103" i="6"/>
  <c r="I104" i="6"/>
  <c r="I105" i="6"/>
  <c r="I106" i="6"/>
  <c r="I107" i="6"/>
  <c r="I108" i="6"/>
  <c r="I109" i="6"/>
  <c r="I110" i="6"/>
  <c r="I11" i="6"/>
  <c r="J7" i="10"/>
  <c r="J8" i="10"/>
  <c r="J9" i="10" s="1"/>
  <c r="J10" i="10" s="1"/>
  <c r="J11" i="10" s="1"/>
  <c r="J12" i="10" s="1"/>
  <c r="J13" i="10" s="1"/>
  <c r="J14" i="10" s="1"/>
  <c r="J15" i="10" s="1"/>
  <c r="J16" i="10" s="1"/>
  <c r="J17" i="10" s="1"/>
  <c r="J18" i="10" s="1"/>
  <c r="J19" i="10" s="1"/>
  <c r="J20" i="10" s="1"/>
  <c r="J21" i="10" s="1"/>
  <c r="J22" i="10" s="1"/>
  <c r="J23" i="10" s="1"/>
  <c r="J24" i="10" s="1"/>
  <c r="J25" i="10" s="1"/>
  <c r="J26" i="10" s="1"/>
  <c r="J27" i="10" s="1"/>
  <c r="J28" i="10" s="1"/>
  <c r="J29" i="10" s="1"/>
  <c r="J30" i="10" s="1"/>
  <c r="J31" i="10" s="1"/>
  <c r="J32" i="10" s="1"/>
  <c r="J33" i="10" s="1"/>
  <c r="J34" i="10" s="1"/>
  <c r="J35" i="10" s="1"/>
  <c r="J36" i="10" s="1"/>
  <c r="J37" i="10" s="1"/>
  <c r="J38" i="10" s="1"/>
  <c r="J39" i="10" s="1"/>
  <c r="J40" i="10" s="1"/>
  <c r="J41" i="10" s="1"/>
  <c r="J42" i="10" s="1"/>
  <c r="J43" i="10" s="1"/>
  <c r="J44" i="10" s="1"/>
  <c r="J45" i="10" s="1"/>
  <c r="J46" i="10" s="1"/>
  <c r="J47" i="10" s="1"/>
  <c r="J48" i="10" s="1"/>
  <c r="J49" i="10" s="1"/>
  <c r="J50" i="10" s="1"/>
  <c r="J51" i="10" s="1"/>
  <c r="J52" i="10" s="1"/>
  <c r="J53" i="10" s="1"/>
  <c r="J54" i="10" s="1"/>
  <c r="J55" i="10" s="1"/>
  <c r="J56" i="10" s="1"/>
  <c r="J57" i="10" s="1"/>
  <c r="J58" i="10" s="1"/>
  <c r="J59" i="10" s="1"/>
  <c r="J60" i="10" s="1"/>
  <c r="J61" i="10" s="1"/>
  <c r="J62" i="10" s="1"/>
  <c r="J63" i="10" s="1"/>
  <c r="J64" i="10" s="1"/>
  <c r="J65" i="10" s="1"/>
  <c r="J66" i="10" s="1"/>
  <c r="J67" i="10" s="1"/>
  <c r="J68" i="10" s="1"/>
  <c r="J69" i="10" s="1"/>
  <c r="J70" i="10" s="1"/>
  <c r="J71" i="10" s="1"/>
  <c r="J72" i="10" s="1"/>
  <c r="J73" i="10" s="1"/>
  <c r="J74" i="10" s="1"/>
  <c r="J75" i="10" s="1"/>
  <c r="J76" i="10" s="1"/>
  <c r="J77" i="10" s="1"/>
  <c r="J78" i="10" s="1"/>
  <c r="J79" i="10" s="1"/>
  <c r="J80" i="10" s="1"/>
  <c r="J81" i="10" s="1"/>
  <c r="J82" i="10" s="1"/>
  <c r="J83" i="10" s="1"/>
  <c r="J84" i="10" s="1"/>
  <c r="J85" i="10" s="1"/>
  <c r="J86" i="10" s="1"/>
  <c r="J87" i="10" s="1"/>
  <c r="J88" i="10" s="1"/>
  <c r="J89" i="10" s="1"/>
  <c r="J90" i="10" s="1"/>
  <c r="J91" i="10" s="1"/>
  <c r="J92" i="10" s="1"/>
  <c r="J93" i="10" s="1"/>
  <c r="J94" i="10" s="1"/>
  <c r="J95" i="10" s="1"/>
  <c r="J96" i="10" s="1"/>
  <c r="J97" i="10" s="1"/>
  <c r="J98" i="10" s="1"/>
  <c r="J99" i="10" s="1"/>
  <c r="J100" i="10" s="1"/>
  <c r="J101" i="10" s="1"/>
  <c r="J102" i="10" s="1"/>
  <c r="J103" i="10" s="1"/>
  <c r="J104" i="10" s="1"/>
  <c r="J105" i="10" s="1"/>
  <c r="E10" i="10"/>
  <c r="E12" i="10"/>
  <c r="E17" i="10"/>
  <c r="A7" i="10"/>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63" i="10" s="1"/>
  <c r="A64" i="10" s="1"/>
  <c r="A65" i="10" s="1"/>
  <c r="A66" i="10" s="1"/>
  <c r="A67" i="10" s="1"/>
  <c r="A68" i="10" s="1"/>
  <c r="A69" i="10" s="1"/>
  <c r="A70" i="10" s="1"/>
  <c r="A71" i="10" s="1"/>
  <c r="A72" i="10" s="1"/>
  <c r="A73" i="10" s="1"/>
  <c r="A74" i="10" s="1"/>
  <c r="A75" i="10" s="1"/>
  <c r="A76" i="10" s="1"/>
  <c r="A77" i="10" s="1"/>
  <c r="A78" i="10" s="1"/>
  <c r="A79" i="10" s="1"/>
  <c r="A80" i="10" s="1"/>
  <c r="A81" i="10" s="1"/>
  <c r="A82" i="10" s="1"/>
  <c r="A83" i="10" s="1"/>
  <c r="A84" i="10" s="1"/>
  <c r="A85" i="10" s="1"/>
  <c r="A86" i="10" s="1"/>
  <c r="A87" i="10" s="1"/>
  <c r="A88" i="10" s="1"/>
  <c r="A89" i="10" s="1"/>
  <c r="A90" i="10" s="1"/>
  <c r="A91" i="10" s="1"/>
  <c r="A92" i="10" s="1"/>
  <c r="A93" i="10" s="1"/>
  <c r="A94" i="10" s="1"/>
  <c r="A95" i="10" s="1"/>
  <c r="A96" i="10" s="1"/>
  <c r="A97" i="10" s="1"/>
  <c r="A98" i="10" s="1"/>
  <c r="A99" i="10" s="1"/>
  <c r="A100" i="10" s="1"/>
  <c r="A101" i="10" s="1"/>
  <c r="A102" i="10" s="1"/>
  <c r="A103" i="10" s="1"/>
  <c r="A104" i="10" s="1"/>
  <c r="A105" i="10" s="1"/>
  <c r="E86" i="11"/>
  <c r="F100" i="1"/>
  <c r="E256" i="11"/>
  <c r="H14" i="3"/>
  <c r="C8" i="10" s="1"/>
  <c r="K30" i="8"/>
  <c r="K18" i="8"/>
  <c r="K14" i="8"/>
  <c r="K110" i="6"/>
  <c r="H108" i="1"/>
  <c r="B101" i="10" s="1"/>
  <c r="K106" i="6"/>
  <c r="K92" i="6"/>
  <c r="H89" i="1"/>
  <c r="B82" i="10" s="1"/>
  <c r="K85" i="6"/>
  <c r="K83" i="6"/>
  <c r="K68" i="6"/>
  <c r="H69" i="1"/>
  <c r="B62" i="10" s="1"/>
  <c r="K57" i="6"/>
  <c r="H51" i="1"/>
  <c r="B44" i="10" s="1"/>
  <c r="B31" i="10"/>
  <c r="K14" i="6"/>
  <c r="E140" i="12"/>
  <c r="E148" i="12" s="1"/>
  <c r="H14" i="1"/>
  <c r="B7" i="10" s="1"/>
  <c r="E433" i="11"/>
  <c r="F74" i="1" s="1"/>
  <c r="E678" i="11"/>
  <c r="F109" i="1" s="1"/>
  <c r="K78" i="6"/>
  <c r="K95" i="6"/>
  <c r="F36" i="1"/>
  <c r="H36" i="1" s="1"/>
  <c r="B29" i="10" s="1"/>
  <c r="E377" i="11"/>
  <c r="F66" i="1" s="1"/>
  <c r="C64" i="6" s="1"/>
  <c r="E64" i="6" s="1"/>
  <c r="J64" i="6" s="1"/>
  <c r="K59" i="10" s="1"/>
  <c r="E155" i="11"/>
  <c r="F34" i="1" s="1"/>
  <c r="C32" i="6" s="1"/>
  <c r="E32" i="6" s="1"/>
  <c r="J32" i="6" s="1"/>
  <c r="H53" i="1"/>
  <c r="B46" i="10" s="1"/>
  <c r="E237" i="11"/>
  <c r="E238" i="11" s="1"/>
  <c r="H47" i="1"/>
  <c r="B40" i="10" s="1"/>
  <c r="K72" i="6"/>
  <c r="B24" i="10"/>
  <c r="K17" i="8"/>
  <c r="H37" i="3"/>
  <c r="C31" i="10" s="1"/>
  <c r="H39" i="3"/>
  <c r="C33" i="10" s="1"/>
  <c r="H43" i="3"/>
  <c r="C37" i="10" s="1"/>
  <c r="H55" i="3"/>
  <c r="C49" i="10" s="1"/>
  <c r="C92" i="6"/>
  <c r="E92" i="6" s="1"/>
  <c r="J92" i="6" s="1"/>
  <c r="K87" i="10" s="1"/>
  <c r="F27" i="7"/>
  <c r="D5" i="7"/>
  <c r="C9" i="4"/>
  <c r="F13" i="6"/>
  <c r="F15" i="6"/>
  <c r="F17" i="6"/>
  <c r="F19" i="6"/>
  <c r="F21" i="6"/>
  <c r="F33" i="6"/>
  <c r="F35" i="6"/>
  <c r="F39" i="6"/>
  <c r="F49" i="6"/>
  <c r="F55" i="6"/>
  <c r="F57" i="6"/>
  <c r="F67" i="6"/>
  <c r="F69" i="6"/>
  <c r="F71" i="6"/>
  <c r="F83" i="6"/>
  <c r="F85" i="6"/>
  <c r="F87" i="6"/>
  <c r="F97" i="6"/>
  <c r="F99" i="6"/>
  <c r="F109" i="6"/>
  <c r="F10" i="8"/>
  <c r="F12" i="8"/>
  <c r="F16" i="8"/>
  <c r="F18" i="8"/>
  <c r="F20" i="8"/>
  <c r="F22" i="8"/>
  <c r="F24" i="8"/>
  <c r="F28" i="8"/>
  <c r="F30" i="8"/>
  <c r="F34" i="8"/>
  <c r="F36" i="8"/>
  <c r="F38" i="8"/>
  <c r="F40" i="8"/>
  <c r="F42" i="8"/>
  <c r="F44" i="8"/>
  <c r="F52" i="8"/>
  <c r="C110" i="6"/>
  <c r="E110" i="6" s="1"/>
  <c r="J110" i="6" s="1"/>
  <c r="K105" i="10" s="1"/>
  <c r="F26" i="6"/>
  <c r="F28" i="6"/>
  <c r="F30" i="6"/>
  <c r="F50" i="6"/>
  <c r="F64" i="6"/>
  <c r="F70" i="6"/>
  <c r="F90" i="6"/>
  <c r="F96" i="6"/>
  <c r="F98" i="6"/>
  <c r="F100" i="6"/>
  <c r="F104" i="6"/>
  <c r="F11" i="8"/>
  <c r="F13" i="8"/>
  <c r="F15" i="8"/>
  <c r="F17" i="8"/>
  <c r="F19" i="8"/>
  <c r="F21" i="8"/>
  <c r="F23" i="8"/>
  <c r="F25" i="8"/>
  <c r="F29" i="8"/>
  <c r="F31" i="8"/>
  <c r="F37" i="8"/>
  <c r="F39" i="8"/>
  <c r="F41" i="8"/>
  <c r="F45" i="8"/>
  <c r="F51" i="8"/>
  <c r="F53" i="8"/>
  <c r="C14" i="6"/>
  <c r="E14" i="6"/>
  <c r="J14" i="6" s="1"/>
  <c r="K9" i="10" s="1"/>
  <c r="C16" i="6"/>
  <c r="E16" i="6"/>
  <c r="J16" i="6" s="1"/>
  <c r="K11" i="10" s="1"/>
  <c r="C28" i="6"/>
  <c r="E28" i="6"/>
  <c r="J28" i="6" s="1"/>
  <c r="K23" i="10" s="1"/>
  <c r="C36" i="6"/>
  <c r="E36" i="6" s="1"/>
  <c r="J36" i="6" s="1"/>
  <c r="K31" i="10" s="1"/>
  <c r="C46" i="6"/>
  <c r="E46" i="6" s="1"/>
  <c r="J46" i="6" s="1"/>
  <c r="K41" i="10" s="1"/>
  <c r="C60" i="6"/>
  <c r="E60" i="6"/>
  <c r="J60" i="6" s="1"/>
  <c r="K55" i="10" s="1"/>
  <c r="C62" i="6"/>
  <c r="E62" i="6" s="1"/>
  <c r="C66" i="6"/>
  <c r="E66" i="6" s="1"/>
  <c r="J66" i="6" s="1"/>
  <c r="K61" i="10" s="1"/>
  <c r="C76" i="6"/>
  <c r="E76" i="6" s="1"/>
  <c r="J76" i="6"/>
  <c r="K71" i="10" s="1"/>
  <c r="C78" i="6"/>
  <c r="E78" i="6" s="1"/>
  <c r="J78" i="6" s="1"/>
  <c r="K73" i="10" s="1"/>
  <c r="C82" i="6"/>
  <c r="E82" i="6" s="1"/>
  <c r="J82" i="6" s="1"/>
  <c r="C86" i="6"/>
  <c r="E86" i="6"/>
  <c r="J86" i="6" s="1"/>
  <c r="K81" i="10" s="1"/>
  <c r="C96" i="6"/>
  <c r="E96" i="6" s="1"/>
  <c r="J96" i="6" s="1"/>
  <c r="K91" i="10" s="1"/>
  <c r="K45" i="6"/>
  <c r="K16" i="6"/>
  <c r="H39" i="1"/>
  <c r="B32" i="10" s="1"/>
  <c r="K46" i="6"/>
  <c r="H56" i="1"/>
  <c r="B49" i="10" s="1"/>
  <c r="K62" i="6"/>
  <c r="H77" i="1"/>
  <c r="B70" i="10"/>
  <c r="H84" i="1"/>
  <c r="B77" i="10"/>
  <c r="H86" i="1"/>
  <c r="B79" i="10"/>
  <c r="H88" i="1"/>
  <c r="B81" i="10"/>
  <c r="K96" i="6"/>
  <c r="H110" i="1"/>
  <c r="B103" i="10" s="1"/>
  <c r="C15" i="6"/>
  <c r="E15" i="6" s="1"/>
  <c r="J15" i="6" s="1"/>
  <c r="K10" i="10"/>
  <c r="C29" i="6"/>
  <c r="E29" i="6" s="1"/>
  <c r="C35" i="6"/>
  <c r="E35" i="6" s="1"/>
  <c r="J35" i="6" s="1"/>
  <c r="K30" i="10" s="1"/>
  <c r="C37" i="6"/>
  <c r="E37" i="6" s="1"/>
  <c r="J37" i="6" s="1"/>
  <c r="K32" i="10" s="1"/>
  <c r="C39" i="6"/>
  <c r="E39" i="6"/>
  <c r="J39" i="6" s="1"/>
  <c r="K34" i="10" s="1"/>
  <c r="C49" i="6"/>
  <c r="E49" i="6" s="1"/>
  <c r="C55" i="6"/>
  <c r="E55" i="6" s="1"/>
  <c r="J55" i="6" s="1"/>
  <c r="K50" i="10" s="1"/>
  <c r="C57" i="6"/>
  <c r="E57" i="6" s="1"/>
  <c r="J57" i="6" s="1"/>
  <c r="K52" i="10" s="1"/>
  <c r="C59" i="6"/>
  <c r="E59" i="6" s="1"/>
  <c r="J59" i="6" s="1"/>
  <c r="K54" i="10" s="1"/>
  <c r="C61" i="6"/>
  <c r="E61" i="6"/>
  <c r="C65" i="6"/>
  <c r="E65" i="6" s="1"/>
  <c r="C71" i="6"/>
  <c r="E71" i="6" s="1"/>
  <c r="J71" i="6" s="1"/>
  <c r="K66" i="10" s="1"/>
  <c r="C75" i="6"/>
  <c r="E75" i="6"/>
  <c r="J75" i="6" s="1"/>
  <c r="K70" i="10" s="1"/>
  <c r="C79" i="6"/>
  <c r="E79" i="6" s="1"/>
  <c r="C83" i="6"/>
  <c r="E83" i="6" s="1"/>
  <c r="J83" i="6" s="1"/>
  <c r="K78" i="10" s="1"/>
  <c r="C85" i="6"/>
  <c r="E85" i="6"/>
  <c r="J85" i="6" s="1"/>
  <c r="K80" i="10" s="1"/>
  <c r="C87" i="6"/>
  <c r="E87" i="6" s="1"/>
  <c r="J87" i="6" s="1"/>
  <c r="K82" i="10" s="1"/>
  <c r="C93" i="6"/>
  <c r="E93" i="6" s="1"/>
  <c r="J93" i="6" s="1"/>
  <c r="K88" i="10" s="1"/>
  <c r="C101" i="6"/>
  <c r="E101" i="6" s="1"/>
  <c r="C107" i="6"/>
  <c r="E107" i="6" s="1"/>
  <c r="J107" i="6" s="1"/>
  <c r="K102" i="10" s="1"/>
  <c r="C109" i="6"/>
  <c r="E109" i="6" s="1"/>
  <c r="H32" i="3"/>
  <c r="C26" i="10"/>
  <c r="C35" i="8"/>
  <c r="E35" i="8" s="1"/>
  <c r="C11" i="8"/>
  <c r="E11" i="8" s="1"/>
  <c r="C17" i="8"/>
  <c r="E17" i="8"/>
  <c r="J17" i="8" s="1"/>
  <c r="L13" i="10" s="1"/>
  <c r="C51" i="8"/>
  <c r="E51" i="8"/>
  <c r="J51" i="8" s="1"/>
  <c r="L47" i="10" s="1"/>
  <c r="K11" i="8"/>
  <c r="H31" i="3"/>
  <c r="C25" i="10" s="1"/>
  <c r="H27" i="3"/>
  <c r="C21" i="10" s="1"/>
  <c r="H18" i="3"/>
  <c r="C12" i="10"/>
  <c r="K12" i="8"/>
  <c r="K16" i="8"/>
  <c r="C37" i="8"/>
  <c r="E37" i="8" s="1"/>
  <c r="J37" i="8" s="1"/>
  <c r="L33" i="10" s="1"/>
  <c r="C19" i="8"/>
  <c r="E19" i="8" s="1"/>
  <c r="C21" i="8"/>
  <c r="E21" i="8" s="1"/>
  <c r="J21" i="8" s="1"/>
  <c r="L17" i="10" s="1"/>
  <c r="C23" i="8"/>
  <c r="E23" i="8" s="1"/>
  <c r="J23" i="8" s="1"/>
  <c r="L19" i="10" s="1"/>
  <c r="C25" i="8"/>
  <c r="E25" i="8" s="1"/>
  <c r="J25" i="8" s="1"/>
  <c r="L21" i="10" s="1"/>
  <c r="C29" i="8"/>
  <c r="E29" i="8" s="1"/>
  <c r="J29" i="8" s="1"/>
  <c r="L25" i="10" s="1"/>
  <c r="C31" i="8"/>
  <c r="E31" i="8"/>
  <c r="J31" i="8" s="1"/>
  <c r="L27" i="10" s="1"/>
  <c r="C41" i="8"/>
  <c r="E41" i="8" s="1"/>
  <c r="J41" i="8" s="1"/>
  <c r="L37" i="10" s="1"/>
  <c r="C53" i="8"/>
  <c r="E53" i="8" s="1"/>
  <c r="J53" i="8" s="1"/>
  <c r="L49" i="10" s="1"/>
  <c r="K23" i="8"/>
  <c r="H21" i="3"/>
  <c r="C15" i="10"/>
  <c r="H33" i="3"/>
  <c r="C27" i="10" s="1"/>
  <c r="K34" i="8"/>
  <c r="K21" i="8"/>
  <c r="K38" i="8"/>
  <c r="H20" i="3"/>
  <c r="C14" i="10" s="1"/>
  <c r="H40" i="3"/>
  <c r="C34" i="10" s="1"/>
  <c r="C14" i="8"/>
  <c r="E14" i="8" s="1"/>
  <c r="J14" i="8" s="1"/>
  <c r="L10" i="10" s="1"/>
  <c r="C24" i="8"/>
  <c r="E24" i="8" s="1"/>
  <c r="J24" i="8" s="1"/>
  <c r="L20" i="10" s="1"/>
  <c r="C28" i="8"/>
  <c r="E28" i="8" s="1"/>
  <c r="J28" i="8" s="1"/>
  <c r="L24" i="10" s="1"/>
  <c r="C34" i="8"/>
  <c r="E34" i="8" s="1"/>
  <c r="J34" i="8" s="1"/>
  <c r="L30" i="10" s="1"/>
  <c r="C42" i="8"/>
  <c r="E42" i="8" s="1"/>
  <c r="J42" i="8" s="1"/>
  <c r="L38" i="10" s="1"/>
  <c r="C44" i="8"/>
  <c r="E44" i="8" s="1"/>
  <c r="J44" i="8" s="1"/>
  <c r="L40" i="10" s="1"/>
  <c r="C52" i="8"/>
  <c r="E52" i="8"/>
  <c r="J52" i="8" s="1"/>
  <c r="L48" i="10" s="1"/>
  <c r="J11" i="7"/>
  <c r="N7" i="10"/>
  <c r="J18" i="8"/>
  <c r="L14" i="10" s="1"/>
  <c r="J16" i="8"/>
  <c r="L12" i="10" s="1"/>
  <c r="J45" i="8"/>
  <c r="L41" i="10"/>
  <c r="J16" i="7"/>
  <c r="N11" i="10" s="1"/>
  <c r="J19" i="7"/>
  <c r="N13" i="10" s="1"/>
  <c r="J15" i="7"/>
  <c r="N10" i="10" s="1"/>
  <c r="K77" i="10"/>
  <c r="J50" i="6"/>
  <c r="K45" i="10"/>
  <c r="J109" i="6"/>
  <c r="K104" i="10" s="1"/>
  <c r="J62" i="6"/>
  <c r="K57" i="10" s="1"/>
  <c r="J45" i="6"/>
  <c r="K40" i="10" s="1"/>
  <c r="K27" i="10"/>
  <c r="K21" i="10"/>
  <c r="D51" i="3"/>
  <c r="C48" i="5" s="1"/>
  <c r="H54" i="3"/>
  <c r="C48" i="10"/>
  <c r="H30" i="3"/>
  <c r="C24" i="10" s="1"/>
  <c r="C31" i="5"/>
  <c r="H104" i="1"/>
  <c r="B97" i="10"/>
  <c r="K102" i="6"/>
  <c r="E557" i="11"/>
  <c r="F92" i="1" s="1"/>
  <c r="K64" i="6"/>
  <c r="C54" i="4"/>
  <c r="H100" i="1"/>
  <c r="B93" i="10" s="1"/>
  <c r="H96" i="1"/>
  <c r="B89" i="10"/>
  <c r="H67" i="1"/>
  <c r="B60" i="10" s="1"/>
  <c r="H37" i="1"/>
  <c r="B30" i="10" s="1"/>
  <c r="K36" i="6"/>
  <c r="H41" i="1"/>
  <c r="B34" i="10" s="1"/>
  <c r="H57" i="1"/>
  <c r="B50" i="10"/>
  <c r="H63" i="1"/>
  <c r="B56" i="10" s="1"/>
  <c r="H73" i="1"/>
  <c r="B66" i="10" s="1"/>
  <c r="K73" i="6"/>
  <c r="K109" i="6"/>
  <c r="K50" i="6"/>
  <c r="H52" i="1"/>
  <c r="B45" i="10"/>
  <c r="H44" i="1"/>
  <c r="B37" i="10" s="1"/>
  <c r="K42" i="6"/>
  <c r="D44" i="1"/>
  <c r="C40" i="4" s="1"/>
  <c r="K13" i="6"/>
  <c r="K15" i="6"/>
  <c r="H103" i="1"/>
  <c r="B96" i="10" s="1"/>
  <c r="K32" i="6"/>
  <c r="H34" i="1"/>
  <c r="B27" i="10" s="1"/>
  <c r="H28" i="1"/>
  <c r="B21" i="10" s="1"/>
  <c r="K26" i="6"/>
  <c r="H38" i="3"/>
  <c r="C32" i="10"/>
  <c r="K36" i="8"/>
  <c r="H47" i="3"/>
  <c r="C41" i="10" s="1"/>
  <c r="K45" i="8"/>
  <c r="H19" i="1"/>
  <c r="B12" i="10" s="1"/>
  <c r="K17" i="6"/>
  <c r="H21" i="1"/>
  <c r="B14" i="10" s="1"/>
  <c r="K19" i="6"/>
  <c r="H26" i="1"/>
  <c r="B19" i="10"/>
  <c r="K24" i="6"/>
  <c r="H102" i="1"/>
  <c r="B95" i="10" s="1"/>
  <c r="H42" i="3"/>
  <c r="C36" i="10"/>
  <c r="K40" i="8"/>
  <c r="K29" i="6"/>
  <c r="H76" i="1"/>
  <c r="B69" i="10" s="1"/>
  <c r="K42" i="8"/>
  <c r="F42" i="6"/>
  <c r="F49" i="8"/>
  <c r="C98" i="6"/>
  <c r="E98" i="6" s="1"/>
  <c r="J98" i="6" s="1"/>
  <c r="K93" i="10" s="1"/>
  <c r="K98" i="6"/>
  <c r="H15" i="1"/>
  <c r="B8" i="10"/>
  <c r="C13" i="6"/>
  <c r="E13" i="6" s="1"/>
  <c r="H33" i="1"/>
  <c r="B26" i="10" s="1"/>
  <c r="K31" i="6"/>
  <c r="C31" i="6"/>
  <c r="E31" i="6"/>
  <c r="J31" i="6" s="1"/>
  <c r="K26" i="10" s="1"/>
  <c r="F16" i="6"/>
  <c r="C14" i="4"/>
  <c r="F25" i="6"/>
  <c r="C23" i="4"/>
  <c r="C34" i="4"/>
  <c r="F36" i="6"/>
  <c r="C50" i="4"/>
  <c r="F52" i="6"/>
  <c r="F61" i="6"/>
  <c r="C59" i="4"/>
  <c r="C71" i="4"/>
  <c r="F73" i="6"/>
  <c r="C79" i="4"/>
  <c r="F81" i="6"/>
  <c r="C91" i="4"/>
  <c r="F93" i="6"/>
  <c r="C104" i="4"/>
  <c r="F106" i="6"/>
  <c r="E3" i="8"/>
  <c r="D3" i="9"/>
  <c r="D3" i="7"/>
  <c r="K10" i="8"/>
  <c r="F29" i="6"/>
  <c r="E14" i="7"/>
  <c r="E25" i="7" s="1"/>
  <c r="F54" i="6"/>
  <c r="C52" i="4"/>
  <c r="F95" i="6"/>
  <c r="C93" i="4"/>
  <c r="H60" i="1"/>
  <c r="B53" i="10" s="1"/>
  <c r="K81" i="6"/>
  <c r="H83" i="1"/>
  <c r="B76" i="10" s="1"/>
  <c r="C81" i="6"/>
  <c r="E81" i="6" s="1"/>
  <c r="J81" i="6" s="1"/>
  <c r="K76" i="10" s="1"/>
  <c r="B92" i="10"/>
  <c r="K97" i="6"/>
  <c r="C97" i="6"/>
  <c r="E97" i="6" s="1"/>
  <c r="C39" i="8"/>
  <c r="E39" i="8" s="1"/>
  <c r="J39" i="8" s="1"/>
  <c r="L35" i="10" s="1"/>
  <c r="K39" i="8"/>
  <c r="H41" i="3"/>
  <c r="C35" i="10"/>
  <c r="C10" i="4"/>
  <c r="F12" i="6"/>
  <c r="C29" i="4"/>
  <c r="F31" i="6"/>
  <c r="C66" i="4"/>
  <c r="F68" i="6"/>
  <c r="C75" i="4"/>
  <c r="F77" i="6"/>
  <c r="F86" i="6"/>
  <c r="C84" i="4"/>
  <c r="F110" i="6"/>
  <c r="C108" i="4"/>
  <c r="F45" i="6"/>
  <c r="C43" i="4"/>
  <c r="D5" i="9"/>
  <c r="E5" i="8"/>
  <c r="H12" i="3"/>
  <c r="C6" i="10" s="1"/>
  <c r="C56" i="6"/>
  <c r="E56" i="6" s="1"/>
  <c r="J56" i="6" s="1"/>
  <c r="K51" i="10" s="1"/>
  <c r="H58" i="1"/>
  <c r="B51" i="10" s="1"/>
  <c r="H35" i="1"/>
  <c r="B28" i="10" s="1"/>
  <c r="C33" i="6"/>
  <c r="E33" i="6" s="1"/>
  <c r="J33" i="6" s="1"/>
  <c r="K28" i="10" s="1"/>
  <c r="K38" i="6"/>
  <c r="H40" i="1"/>
  <c r="B33" i="10" s="1"/>
  <c r="K44" i="8"/>
  <c r="H46" i="3"/>
  <c r="C40" i="10" s="1"/>
  <c r="H50" i="3"/>
  <c r="C44" i="10"/>
  <c r="C48" i="8"/>
  <c r="E48" i="8" s="1"/>
  <c r="J48" i="8" s="1"/>
  <c r="L44" i="10" s="1"/>
  <c r="C16" i="4"/>
  <c r="F18" i="6"/>
  <c r="F38" i="6"/>
  <c r="C36" i="4"/>
  <c r="F66" i="6"/>
  <c r="C64" i="4"/>
  <c r="F84" i="6"/>
  <c r="C82" i="4"/>
  <c r="F108" i="6"/>
  <c r="C106" i="4"/>
  <c r="C21" i="6"/>
  <c r="E21" i="6" s="1"/>
  <c r="J21" i="6" s="1"/>
  <c r="K16" i="10" s="1"/>
  <c r="C51" i="6"/>
  <c r="E51" i="6" s="1"/>
  <c r="J51" i="6" s="1"/>
  <c r="K46" i="10" s="1"/>
  <c r="K51" i="6"/>
  <c r="K25" i="6"/>
  <c r="H27" i="1"/>
  <c r="B20" i="10" s="1"/>
  <c r="C25" i="6"/>
  <c r="E25" i="6" s="1"/>
  <c r="J25" i="6" s="1"/>
  <c r="K20" i="10" s="1"/>
  <c r="C84" i="6"/>
  <c r="E84" i="6" s="1"/>
  <c r="J84" i="6" s="1"/>
  <c r="K79" i="10" s="1"/>
  <c r="K84" i="6"/>
  <c r="K51" i="8"/>
  <c r="H53" i="3"/>
  <c r="C47" i="10" s="1"/>
  <c r="F14" i="6"/>
  <c r="C12" i="4"/>
  <c r="C57" i="4"/>
  <c r="F59" i="6"/>
  <c r="F79" i="6"/>
  <c r="C77" i="4"/>
  <c r="C99" i="4"/>
  <c r="F101" i="6"/>
  <c r="K56" i="6"/>
  <c r="H17" i="3"/>
  <c r="C11" i="10" s="1"/>
  <c r="K15" i="8"/>
  <c r="C38" i="6"/>
  <c r="E38" i="6" s="1"/>
  <c r="J38" i="6" s="1"/>
  <c r="K33" i="10" s="1"/>
  <c r="F32" i="6"/>
  <c r="F75" i="6"/>
  <c r="E4" i="8"/>
  <c r="E110" i="9"/>
  <c r="J14" i="7"/>
  <c r="N9" i="10" s="1"/>
  <c r="C42" i="5" l="1"/>
  <c r="F43" i="8"/>
  <c r="H92" i="1"/>
  <c r="B85" i="10" s="1"/>
  <c r="C90" i="6"/>
  <c r="E90" i="6" s="1"/>
  <c r="J90" i="6" s="1"/>
  <c r="K85" i="10" s="1"/>
  <c r="K90" i="6"/>
  <c r="C80" i="6"/>
  <c r="E80" i="6" s="1"/>
  <c r="J80" i="6" s="1"/>
  <c r="K75" i="10" s="1"/>
  <c r="K80" i="6"/>
  <c r="H82" i="1"/>
  <c r="B75" i="10" s="1"/>
  <c r="K88" i="6"/>
  <c r="C88" i="6"/>
  <c r="E88" i="6" s="1"/>
  <c r="J88" i="6" s="1"/>
  <c r="K83" i="10" s="1"/>
  <c r="H90" i="1"/>
  <c r="B83" i="10" s="1"/>
  <c r="K43" i="8"/>
  <c r="C43" i="8"/>
  <c r="E43" i="8" s="1"/>
  <c r="J43" i="8" s="1"/>
  <c r="L39" i="10" s="1"/>
  <c r="H45" i="3"/>
  <c r="C39" i="10" s="1"/>
  <c r="G114" i="11"/>
  <c r="D29" i="1" s="1"/>
  <c r="E119" i="11"/>
  <c r="F29" i="1" s="1"/>
  <c r="C70" i="4"/>
  <c r="F72" i="6"/>
  <c r="H26" i="3"/>
  <c r="C20" i="10" s="1"/>
  <c r="K24" i="8"/>
  <c r="G169" i="12"/>
  <c r="D35" i="3" s="1"/>
  <c r="E171" i="12"/>
  <c r="F35" i="3" s="1"/>
  <c r="G259" i="11"/>
  <c r="D50" i="1" s="1"/>
  <c r="E263" i="11"/>
  <c r="F50" i="1" s="1"/>
  <c r="C35" i="4"/>
  <c r="F37" i="6"/>
  <c r="J15" i="8"/>
  <c r="L11" i="10" s="1"/>
  <c r="J19" i="8"/>
  <c r="L15" i="10" s="1"/>
  <c r="J101" i="6"/>
  <c r="K96" i="10" s="1"/>
  <c r="J65" i="6"/>
  <c r="K60" i="10" s="1"/>
  <c r="J49" i="6"/>
  <c r="K44" i="10" s="1"/>
  <c r="E566" i="11"/>
  <c r="E568" i="11" s="1"/>
  <c r="F93" i="1" s="1"/>
  <c r="G71" i="11"/>
  <c r="D22" i="1" s="1"/>
  <c r="E75" i="11"/>
  <c r="F22" i="1" s="1"/>
  <c r="C49" i="4"/>
  <c r="F51" i="6"/>
  <c r="J11" i="8"/>
  <c r="L7" i="10" s="1"/>
  <c r="F91" i="6"/>
  <c r="G367" i="11"/>
  <c r="D65" i="1" s="1"/>
  <c r="E371" i="11"/>
  <c r="F65" i="1" s="1"/>
  <c r="C105" i="4"/>
  <c r="F107" i="6"/>
  <c r="F24" i="6"/>
  <c r="C22" i="4"/>
  <c r="F58" i="6"/>
  <c r="C56" i="4"/>
  <c r="C34" i="5"/>
  <c r="F35" i="8"/>
  <c r="G253" i="11"/>
  <c r="D49" i="1" s="1"/>
  <c r="E257" i="11"/>
  <c r="F49" i="1" s="1"/>
  <c r="J61" i="6"/>
  <c r="K56" i="10" s="1"/>
  <c r="K21" i="6"/>
  <c r="J97" i="6"/>
  <c r="K92" i="10" s="1"/>
  <c r="J13" i="6"/>
  <c r="K8" i="10" s="1"/>
  <c r="H66" i="1"/>
  <c r="B59" i="10" s="1"/>
  <c r="J35" i="8"/>
  <c r="L31" i="10" s="1"/>
  <c r="J79" i="6"/>
  <c r="K74" i="10" s="1"/>
  <c r="J29" i="6"/>
  <c r="K24" i="10" s="1"/>
  <c r="C74" i="6"/>
  <c r="E74" i="6" s="1"/>
  <c r="J74" i="6" s="1"/>
  <c r="K69" i="10" s="1"/>
  <c r="F48" i="8"/>
  <c r="G83" i="11"/>
  <c r="D24" i="1" s="1"/>
  <c r="E87" i="11"/>
  <c r="F24" i="1" s="1"/>
  <c r="K22" i="6" s="1"/>
  <c r="K94" i="6"/>
  <c r="C94" i="6"/>
  <c r="E94" i="6" s="1"/>
  <c r="J94" i="6" s="1"/>
  <c r="K89" i="10" s="1"/>
  <c r="J17" i="6"/>
  <c r="K12" i="10" s="1"/>
  <c r="K60" i="6"/>
  <c r="H62" i="1"/>
  <c r="B55" i="10" s="1"/>
  <c r="H70" i="1"/>
  <c r="B63" i="10" s="1"/>
  <c r="C68" i="6"/>
  <c r="E68" i="6" s="1"/>
  <c r="J68" i="6" s="1"/>
  <c r="K63" i="10" s="1"/>
  <c r="C13" i="5"/>
  <c r="F14" i="8"/>
  <c r="E655" i="11"/>
  <c r="F106" i="1" s="1"/>
  <c r="C104" i="6" s="1"/>
  <c r="E104" i="6" s="1"/>
  <c r="J104" i="6" s="1"/>
  <c r="K99" i="10" s="1"/>
  <c r="E82" i="12"/>
  <c r="F22" i="3" s="1"/>
  <c r="J36" i="8"/>
  <c r="L32" i="10" s="1"/>
  <c r="E241" i="12"/>
  <c r="F51" i="3" s="1"/>
  <c r="J21" i="7"/>
  <c r="N15" i="10" s="1"/>
  <c r="J106" i="6"/>
  <c r="K101" i="10" s="1"/>
  <c r="E617" i="11"/>
  <c r="F101" i="1" s="1"/>
  <c r="C99" i="6" s="1"/>
  <c r="E99" i="6" s="1"/>
  <c r="J99" i="6" s="1"/>
  <c r="K94" i="10" s="1"/>
  <c r="F98" i="12"/>
  <c r="F117" i="12" s="1"/>
  <c r="E92" i="12" s="1"/>
  <c r="H24" i="1"/>
  <c r="B17" i="10" s="1"/>
  <c r="C22" i="6"/>
  <c r="E22" i="6" s="1"/>
  <c r="J22" i="6" s="1"/>
  <c r="K17" i="10" s="1"/>
  <c r="C18" i="4"/>
  <c r="F20" i="6"/>
  <c r="C26" i="5"/>
  <c r="F27" i="8"/>
  <c r="H93" i="1"/>
  <c r="B86" i="10" s="1"/>
  <c r="C91" i="6"/>
  <c r="E91" i="6" s="1"/>
  <c r="J91" i="6" s="1"/>
  <c r="K86" i="10" s="1"/>
  <c r="H79" i="1"/>
  <c r="B72" i="10" s="1"/>
  <c r="C77" i="6"/>
  <c r="E77" i="6" s="1"/>
  <c r="J77" i="6" s="1"/>
  <c r="K72" i="10" s="1"/>
  <c r="K77" i="6"/>
  <c r="C95" i="6"/>
  <c r="E95" i="6" s="1"/>
  <c r="J95" i="6" s="1"/>
  <c r="K90" i="10" s="1"/>
  <c r="H97" i="1"/>
  <c r="B90" i="10" s="1"/>
  <c r="F34" i="6"/>
  <c r="C32" i="4"/>
  <c r="K91" i="6"/>
  <c r="C58" i="6"/>
  <c r="E58" i="6" s="1"/>
  <c r="J58" i="6" s="1"/>
  <c r="K53" i="10" s="1"/>
  <c r="K58" i="6"/>
  <c r="H91" i="1"/>
  <c r="B84" i="10" s="1"/>
  <c r="C89" i="6"/>
  <c r="E89" i="6" s="1"/>
  <c r="J89" i="6" s="1"/>
  <c r="K84" i="10" s="1"/>
  <c r="K89" i="6"/>
  <c r="K99" i="6"/>
  <c r="H101" i="1"/>
  <c r="B94" i="10" s="1"/>
  <c r="H20" i="1"/>
  <c r="B13" i="10" s="1"/>
  <c r="K18" i="6"/>
  <c r="C18" i="6"/>
  <c r="E18" i="6" s="1"/>
  <c r="J18" i="6" s="1"/>
  <c r="K13" i="10" s="1"/>
  <c r="K28" i="6"/>
  <c r="H30" i="1"/>
  <c r="B23" i="10" s="1"/>
  <c r="K67" i="6"/>
  <c r="C67" i="6"/>
  <c r="E67" i="6" s="1"/>
  <c r="J67" i="6" s="1"/>
  <c r="K62" i="10" s="1"/>
  <c r="K70" i="6"/>
  <c r="C70" i="6"/>
  <c r="E70" i="6" s="1"/>
  <c r="J70" i="6" s="1"/>
  <c r="K65" i="10" s="1"/>
  <c r="H72" i="1"/>
  <c r="B65" i="10" s="1"/>
  <c r="H75" i="1"/>
  <c r="B68" i="10" s="1"/>
  <c r="C73" i="6"/>
  <c r="E73" i="6" s="1"/>
  <c r="J73" i="6" s="1"/>
  <c r="K68" i="10" s="1"/>
  <c r="H78" i="1"/>
  <c r="B71" i="10" s="1"/>
  <c r="K76" i="6"/>
  <c r="K93" i="6"/>
  <c r="H95" i="1"/>
  <c r="B88" i="10" s="1"/>
  <c r="H15" i="3"/>
  <c r="C9" i="10" s="1"/>
  <c r="C13" i="8"/>
  <c r="E13" i="8" s="1"/>
  <c r="J13" i="8" s="1"/>
  <c r="L9" i="10" s="1"/>
  <c r="K13" i="8"/>
  <c r="H49" i="3"/>
  <c r="C43" i="10" s="1"/>
  <c r="K47" i="8"/>
  <c r="C47" i="8"/>
  <c r="E47" i="8" s="1"/>
  <c r="J47" i="8" s="1"/>
  <c r="L43" i="10" s="1"/>
  <c r="H74" i="1"/>
  <c r="B67" i="10" s="1"/>
  <c r="C72" i="6"/>
  <c r="E72" i="6" s="1"/>
  <c r="J72" i="6" s="1"/>
  <c r="K67" i="10" s="1"/>
  <c r="E7" i="10"/>
  <c r="E18" i="10" s="1"/>
  <c r="F24" i="10" s="1"/>
  <c r="H24" i="10" s="1"/>
  <c r="G28" i="2"/>
  <c r="K34" i="6"/>
  <c r="C34" i="6"/>
  <c r="E34" i="6" s="1"/>
  <c r="J34" i="6" s="1"/>
  <c r="K29" i="10" s="1"/>
  <c r="K107" i="6"/>
  <c r="H109" i="1"/>
  <c r="B102" i="10" s="1"/>
  <c r="H71" i="1"/>
  <c r="B64" i="10" s="1"/>
  <c r="C69" i="6"/>
  <c r="E69" i="6" s="1"/>
  <c r="J69" i="6" s="1"/>
  <c r="K64" i="10" s="1"/>
  <c r="G290" i="11"/>
  <c r="D55" i="1" s="1"/>
  <c r="E295" i="11"/>
  <c r="F55" i="1" s="1"/>
  <c r="E215" i="11"/>
  <c r="E216" i="11" s="1"/>
  <c r="F43" i="1" s="1"/>
  <c r="C25" i="4"/>
  <c r="F27" i="6"/>
  <c r="E228" i="11"/>
  <c r="F45" i="1" s="1"/>
  <c r="G224" i="11"/>
  <c r="D45" i="1" s="1"/>
  <c r="K12" i="6"/>
  <c r="C12" i="6"/>
  <c r="E12" i="6" s="1"/>
  <c r="J12" i="6" s="1"/>
  <c r="K7" i="10" s="1"/>
  <c r="J24" i="6"/>
  <c r="K19" i="10" s="1"/>
  <c r="K30" i="6"/>
  <c r="C30" i="6"/>
  <c r="E30" i="6" s="1"/>
  <c r="J30" i="6" s="1"/>
  <c r="K25" i="10" s="1"/>
  <c r="H32" i="1"/>
  <c r="B25" i="10" s="1"/>
  <c r="K54" i="6"/>
  <c r="C54" i="6"/>
  <c r="E54" i="6" s="1"/>
  <c r="J54" i="6" s="1"/>
  <c r="K49" i="10" s="1"/>
  <c r="H81" i="1"/>
  <c r="B74" i="10" s="1"/>
  <c r="K79" i="6"/>
  <c r="C100" i="6"/>
  <c r="E100" i="6" s="1"/>
  <c r="J100" i="6" s="1"/>
  <c r="K95" i="10" s="1"/>
  <c r="K100" i="6"/>
  <c r="K108" i="6"/>
  <c r="C108" i="6"/>
  <c r="E108" i="6" s="1"/>
  <c r="J108" i="6" s="1"/>
  <c r="K103" i="10" s="1"/>
  <c r="E239" i="11"/>
  <c r="E240" i="11" s="1"/>
  <c r="F46" i="1" s="1"/>
  <c r="G232" i="11"/>
  <c r="D46" i="1" s="1"/>
  <c r="G657" i="11"/>
  <c r="D107" i="1" s="1"/>
  <c r="E663" i="11"/>
  <c r="F107" i="1" s="1"/>
  <c r="J19" i="6"/>
  <c r="K14" i="10" s="1"/>
  <c r="H61" i="1"/>
  <c r="B54" i="10" s="1"/>
  <c r="K59" i="6"/>
  <c r="F283" i="11"/>
  <c r="E288" i="11"/>
  <c r="F54" i="1" s="1"/>
  <c r="G547" i="11"/>
  <c r="D91" i="1" s="1"/>
  <c r="E221" i="12"/>
  <c r="E222" i="12" s="1"/>
  <c r="F48" i="3" s="1"/>
  <c r="C63" i="4"/>
  <c r="F65" i="6"/>
  <c r="F60" i="6"/>
  <c r="C58" i="4"/>
  <c r="C92" i="4"/>
  <c r="F94" i="6"/>
  <c r="H106" i="1"/>
  <c r="B99" i="10" s="1"/>
  <c r="K104" i="6"/>
  <c r="K11" i="6"/>
  <c r="H13" i="1"/>
  <c r="B6" i="10" s="1"/>
  <c r="J30" i="8"/>
  <c r="L26" i="10" s="1"/>
  <c r="G89" i="11"/>
  <c r="D25" i="1" s="1"/>
  <c r="E91" i="11"/>
  <c r="F25" i="1" s="1"/>
  <c r="K66" i="6"/>
  <c r="H68" i="1"/>
  <c r="B61" i="10" s="1"/>
  <c r="G538" i="11"/>
  <c r="D90" i="1" s="1"/>
  <c r="G643" i="11"/>
  <c r="D105" i="1" s="1"/>
  <c r="E649" i="11"/>
  <c r="F105" i="1" s="1"/>
  <c r="J40" i="8"/>
  <c r="L36" i="10" s="1"/>
  <c r="G243" i="12"/>
  <c r="D52" i="3" s="1"/>
  <c r="E249" i="12"/>
  <c r="F52" i="3" s="1"/>
  <c r="J12" i="8"/>
  <c r="L8" i="10" s="1"/>
  <c r="C25" i="7"/>
  <c r="E139" i="12"/>
  <c r="E167" i="12"/>
  <c r="F34" i="3" s="1"/>
  <c r="G134" i="12"/>
  <c r="D28" i="3" s="1"/>
  <c r="J20" i="7"/>
  <c r="N14" i="10" s="1"/>
  <c r="G224" i="12"/>
  <c r="D49" i="3" s="1"/>
  <c r="E208" i="11"/>
  <c r="E209" i="11" s="1"/>
  <c r="E210" i="11" s="1"/>
  <c r="F42" i="1" s="1"/>
  <c r="J24" i="7"/>
  <c r="N17" i="10" s="1"/>
  <c r="K63" i="6" l="1"/>
  <c r="C63" i="6"/>
  <c r="E63" i="6" s="1"/>
  <c r="J63" i="6" s="1"/>
  <c r="K58" i="10" s="1"/>
  <c r="H65" i="1"/>
  <c r="B58" i="10" s="1"/>
  <c r="C48" i="6"/>
  <c r="E48" i="6" s="1"/>
  <c r="J48" i="6" s="1"/>
  <c r="K43" i="10" s="1"/>
  <c r="K48" i="6"/>
  <c r="H50" i="1"/>
  <c r="B43" i="10" s="1"/>
  <c r="H29" i="1"/>
  <c r="B22" i="10" s="1"/>
  <c r="C27" i="6"/>
  <c r="E27" i="6" s="1"/>
  <c r="J27" i="6" s="1"/>
  <c r="K22" i="10" s="1"/>
  <c r="K27" i="6"/>
  <c r="F92" i="12"/>
  <c r="E93" i="12"/>
  <c r="F24" i="3" s="1"/>
  <c r="H51" i="3"/>
  <c r="C45" i="10" s="1"/>
  <c r="K49" i="8"/>
  <c r="C49" i="8"/>
  <c r="E49" i="8" s="1"/>
  <c r="J49" i="8" s="1"/>
  <c r="L45" i="10" s="1"/>
  <c r="F63" i="6"/>
  <c r="C61" i="4"/>
  <c r="C46" i="4"/>
  <c r="F48" i="6"/>
  <c r="N18" i="10"/>
  <c r="F33" i="10" s="1"/>
  <c r="H33" i="10" s="1"/>
  <c r="G216" i="12"/>
  <c r="D48" i="3" s="1"/>
  <c r="H49" i="1"/>
  <c r="B42" i="10" s="1"/>
  <c r="K47" i="6"/>
  <c r="C47" i="6"/>
  <c r="E47" i="6" s="1"/>
  <c r="J47" i="6" s="1"/>
  <c r="K42" i="10" s="1"/>
  <c r="K20" i="6"/>
  <c r="H22" i="1"/>
  <c r="B15" i="10" s="1"/>
  <c r="C20" i="6"/>
  <c r="E20" i="6" s="1"/>
  <c r="J20" i="6" s="1"/>
  <c r="K15" i="10" s="1"/>
  <c r="H35" i="3"/>
  <c r="C29" i="10" s="1"/>
  <c r="C33" i="8"/>
  <c r="E33" i="8" s="1"/>
  <c r="J33" i="8" s="1"/>
  <c r="L29" i="10" s="1"/>
  <c r="K33" i="8"/>
  <c r="C20" i="8"/>
  <c r="E20" i="8" s="1"/>
  <c r="J20" i="8" s="1"/>
  <c r="L16" i="10" s="1"/>
  <c r="K20" i="8"/>
  <c r="H22" i="3"/>
  <c r="C16" i="10" s="1"/>
  <c r="C20" i="4"/>
  <c r="F22" i="6"/>
  <c r="C45" i="4"/>
  <c r="F47" i="6"/>
  <c r="F33" i="8"/>
  <c r="C32" i="5"/>
  <c r="F105" i="6"/>
  <c r="C103" i="4"/>
  <c r="H42" i="1"/>
  <c r="B35" i="10" s="1"/>
  <c r="C40" i="6"/>
  <c r="E40" i="6" s="1"/>
  <c r="J40" i="6" s="1"/>
  <c r="K35" i="10" s="1"/>
  <c r="K40" i="6"/>
  <c r="F89" i="6"/>
  <c r="C87" i="4"/>
  <c r="C41" i="4"/>
  <c r="F43" i="6"/>
  <c r="C41" i="6"/>
  <c r="E41" i="6" s="1"/>
  <c r="J41" i="6" s="1"/>
  <c r="K36" i="10" s="1"/>
  <c r="H43" i="1"/>
  <c r="B36" i="10" s="1"/>
  <c r="K41" i="6"/>
  <c r="C51" i="4"/>
  <c r="F53" i="6"/>
  <c r="C25" i="5"/>
  <c r="F26" i="8"/>
  <c r="K103" i="6"/>
  <c r="H105" i="1"/>
  <c r="B98" i="10" s="1"/>
  <c r="C103" i="6"/>
  <c r="E103" i="6" s="1"/>
  <c r="J103" i="6" s="1"/>
  <c r="K98" i="10" s="1"/>
  <c r="F44" i="6"/>
  <c r="C42" i="4"/>
  <c r="G203" i="11"/>
  <c r="D42" i="1" s="1"/>
  <c r="H34" i="3"/>
  <c r="C28" i="10" s="1"/>
  <c r="K32" i="8"/>
  <c r="C32" i="8"/>
  <c r="E32" i="8" s="1"/>
  <c r="J32" i="8" s="1"/>
  <c r="L28" i="10" s="1"/>
  <c r="C50" i="8"/>
  <c r="E50" i="8" s="1"/>
  <c r="J50" i="8" s="1"/>
  <c r="L46" i="10" s="1"/>
  <c r="K50" i="8"/>
  <c r="H52" i="3"/>
  <c r="C46" i="10" s="1"/>
  <c r="F103" i="6"/>
  <c r="C101" i="4"/>
  <c r="H25" i="1"/>
  <c r="B18" i="10" s="1"/>
  <c r="K23" i="6"/>
  <c r="C23" i="6"/>
  <c r="E23" i="6" s="1"/>
  <c r="J23" i="6" s="1"/>
  <c r="K18" i="10" s="1"/>
  <c r="K52" i="6"/>
  <c r="C52" i="6"/>
  <c r="E52" i="6" s="1"/>
  <c r="J52" i="6" s="1"/>
  <c r="K47" i="10" s="1"/>
  <c r="H54" i="1"/>
  <c r="B47" i="10" s="1"/>
  <c r="H46" i="1"/>
  <c r="B39" i="10" s="1"/>
  <c r="C44" i="6"/>
  <c r="E44" i="6" s="1"/>
  <c r="J44" i="6" s="1"/>
  <c r="K39" i="10" s="1"/>
  <c r="K44" i="6"/>
  <c r="C43" i="6"/>
  <c r="E43" i="6" s="1"/>
  <c r="J43" i="6" s="1"/>
  <c r="K38" i="10" s="1"/>
  <c r="H45" i="1"/>
  <c r="B38" i="10" s="1"/>
  <c r="K43" i="6"/>
  <c r="G212" i="11"/>
  <c r="D43" i="1" s="1"/>
  <c r="F41" i="6" s="1"/>
  <c r="C45" i="5"/>
  <c r="F46" i="8"/>
  <c r="C46" i="5"/>
  <c r="F47" i="8"/>
  <c r="E147" i="12"/>
  <c r="E150" i="12" s="1"/>
  <c r="F29" i="3" s="1"/>
  <c r="E145" i="12"/>
  <c r="F28" i="3" s="1"/>
  <c r="F50" i="8"/>
  <c r="C49" i="5"/>
  <c r="C86" i="4"/>
  <c r="F88" i="6"/>
  <c r="C21" i="4"/>
  <c r="F23" i="6"/>
  <c r="C46" i="8"/>
  <c r="E46" i="8" s="1"/>
  <c r="J46" i="8" s="1"/>
  <c r="L42" i="10" s="1"/>
  <c r="H48" i="3"/>
  <c r="C42" i="10" s="1"/>
  <c r="K46" i="8"/>
  <c r="C105" i="6"/>
  <c r="E105" i="6" s="1"/>
  <c r="J105" i="6" s="1"/>
  <c r="K100" i="10" s="1"/>
  <c r="K105" i="6"/>
  <c r="H107" i="1"/>
  <c r="B100" i="10" s="1"/>
  <c r="C53" i="6"/>
  <c r="E53" i="6" s="1"/>
  <c r="J53" i="6" s="1"/>
  <c r="K48" i="10" s="1"/>
  <c r="K53" i="6"/>
  <c r="H55" i="1"/>
  <c r="B48" i="10" s="1"/>
  <c r="K106" i="10" l="1"/>
  <c r="F32" i="10" s="1"/>
  <c r="H32" i="10" s="1"/>
  <c r="H24" i="3"/>
  <c r="C18" i="10" s="1"/>
  <c r="K22" i="8"/>
  <c r="C22" i="8"/>
  <c r="E22" i="8" s="1"/>
  <c r="J22" i="8" s="1"/>
  <c r="L18" i="10" s="1"/>
  <c r="B106" i="10"/>
  <c r="F23" i="10" s="1"/>
  <c r="H23" i="10" s="1"/>
  <c r="K27" i="8"/>
  <c r="H29" i="3"/>
  <c r="C23" i="10" s="1"/>
  <c r="C27" i="8"/>
  <c r="E27" i="8" s="1"/>
  <c r="J27" i="8" s="1"/>
  <c r="L23" i="10" s="1"/>
  <c r="F40" i="6"/>
  <c r="C38" i="4"/>
  <c r="C39" i="4"/>
  <c r="H28" i="3"/>
  <c r="C22" i="10" s="1"/>
  <c r="C26" i="8"/>
  <c r="E26" i="8" s="1"/>
  <c r="J26" i="8" s="1"/>
  <c r="L22" i="10" s="1"/>
  <c r="L106" i="10" s="1"/>
  <c r="F34" i="10" s="1"/>
  <c r="H34" i="10" s="1"/>
  <c r="H35" i="10" s="1"/>
  <c r="H36" i="10" s="1"/>
  <c r="K26" i="8"/>
  <c r="C106" i="10" l="1"/>
  <c r="F25" i="10" s="1"/>
  <c r="H25" i="10" s="1"/>
  <c r="H26" i="10" s="1"/>
  <c r="H27" i="10" s="1"/>
</calcChain>
</file>

<file path=xl/sharedStrings.xml><?xml version="1.0" encoding="utf-8"?>
<sst xmlns="http://schemas.openxmlformats.org/spreadsheetml/2006/main" count="1932" uniqueCount="1092">
  <si>
    <t>Tanggal Penilaian</t>
  </si>
  <si>
    <t>No.</t>
  </si>
  <si>
    <t>No. Butir Penilaian</t>
  </si>
  <si>
    <t>Aspek Penilaian</t>
  </si>
  <si>
    <t>Informasi dari Borang PS</t>
  </si>
  <si>
    <t>Bobot</t>
  </si>
  <si>
    <t>Nilai*</t>
  </si>
  <si>
    <t>1.1.a</t>
  </si>
  <si>
    <t>1.1.b</t>
  </si>
  <si>
    <t>Strategi pencapaian sasaran dengan rentang waktu yang jelas dan didukung oleh dokumen.</t>
  </si>
  <si>
    <t>Sosialisasi visi-misi.  Sosialisasi yang efektif tercermin dari tingkat pemahaman seluruh pemangku kepentingan internal yaitu sivitas akademika (dosen dan mahasiswa) dan tenaga kependidikan.</t>
  </si>
  <si>
    <t>Tata pamong menjamin terwujudnya visi, terlaksananya misi, tercapainya tujuan, berhasilnya strategi yang digunakan secara kredibel, transparan, akuntabel, bertanggung jawab, dan adil.</t>
  </si>
  <si>
    <t>Karakteristik kepemimpinan yang efektif (kepemimpinan operasional, kepemimpinan organisasi, kepemimpinan publik).</t>
  </si>
  <si>
    <t>Pelaksanaan penjaminan mutu di program studi.</t>
  </si>
  <si>
    <t>Penjaringan umpan balik  dan tindak lanjutnya.</t>
  </si>
  <si>
    <t>3.1.1.a</t>
  </si>
  <si>
    <t xml:space="preserve">Rasio calon mahasiswa yang ikut seleksi terhadap daya tampung. </t>
  </si>
  <si>
    <t>3.1.1.b</t>
  </si>
  <si>
    <t>Rasio mahasiswa baru reguler yang melakukan registrasi terhadap calon mahasiswa baru reguler yang lulus seleksi.</t>
  </si>
  <si>
    <t>3.1.1.c</t>
  </si>
  <si>
    <t>Rasio mahasiswa baru transfer terhadap mahasiswa baru regular.</t>
  </si>
  <si>
    <t>3.1.1.d</t>
  </si>
  <si>
    <t>Rata-rata Indeks Prestasi Kumulatif (IPK) selama lima tahun terakhir.</t>
  </si>
  <si>
    <t>3.1.2</t>
  </si>
  <si>
    <t>Penerimaan mahasiswa non-reguler (selayaknya tidak membuat beban dosen sangat berat, jauh melebihi beban ideal sekitar 12 sks).</t>
  </si>
  <si>
    <t>3.1.3</t>
  </si>
  <si>
    <t>Penghargaan atas prestasi mahasiswa di bidang nalar, bakat dan minat.</t>
  </si>
  <si>
    <t>3.1.4.a</t>
  </si>
  <si>
    <t>Persentase kelulusan tepat waktu.</t>
  </si>
  <si>
    <t>3.1.4.b</t>
  </si>
  <si>
    <t>Persentase mahasiswa yang DO atau mengundurkan diri.</t>
  </si>
  <si>
    <t>3.2.1</t>
  </si>
  <si>
    <t xml:space="preserve">Layanan dan kegiatan kemahasiswaan (ragam, jenis, dan aksesibilitasnya) yang dapat dimanfaatkan untuk membina dan mengembangkan penalaran, minat, bakat, seni, dan kesejahteraan. </t>
  </si>
  <si>
    <t>3.2.2</t>
  </si>
  <si>
    <t>Kualitas layanan kepada mahasiswa.</t>
  </si>
  <si>
    <t>3.3.1.a</t>
  </si>
  <si>
    <t>Upaya pelacakan dan perekaman data lulusan.</t>
  </si>
  <si>
    <t>3.3.1.b</t>
  </si>
  <si>
    <t>Penggunaan hasil pelacakan untuk perbaikan: (1) proses pembelajaran, (2) penggalangan dana, (3) informasi pekerjaan, (4) membangun jejaring.</t>
  </si>
  <si>
    <t>3.3.1.c</t>
  </si>
  <si>
    <t>Pendapat pengguna lulusan terhadap mutu alumni.</t>
  </si>
  <si>
    <t>3.3.2</t>
  </si>
  <si>
    <t>Profil masa tunggu kerja pertama (dalam bulan).</t>
  </si>
  <si>
    <t>3.3.3</t>
  </si>
  <si>
    <t>Profil kesesuaian bidang kerja dengan bidang studi (keahlian) lulusan.</t>
  </si>
  <si>
    <t>3.4.1</t>
  </si>
  <si>
    <t xml:space="preserve">Bentuk partisipasi lulusan dan alumni dalam mendukung pengembangan akademik program studi. </t>
  </si>
  <si>
    <t>3.4.2</t>
  </si>
  <si>
    <t xml:space="preserve">Bentuk partisipasi lulusan dan alumni dalam mendukung pengembangan non-akademik program studi. </t>
  </si>
  <si>
    <t xml:space="preserve">Pedoman tertulis tentang sistem seleksi, perekrutan, penempatan, pengembangan, retensi, dan pemberhentian dosen dan tenaga kependidikan. </t>
  </si>
  <si>
    <t>4.2.1</t>
  </si>
  <si>
    <t xml:space="preserve">Pedoman tertulis tentang sistem monitoring dan evaluasi, serta rekam jejak kinerja akademik dosen dan kinerja tenaga kependidikan. </t>
  </si>
  <si>
    <t>4.2.2</t>
  </si>
  <si>
    <t>Pelaksanaan monitoring dan evaluasi kinerja dosen di bidang  pendidikan, penelitian, dan pengabdian kepada masyarakat.</t>
  </si>
  <si>
    <t>4.3.1.a</t>
  </si>
  <si>
    <t xml:space="preserve">Dosen tetap berpendidikan (terakhir) S2 dan S3 yang bidang keahliannya sesuai dengan kompetensi PS. </t>
  </si>
  <si>
    <t>4.3.1.b</t>
  </si>
  <si>
    <t>Dosen tetap yang berpendidikan S3 yang bidang keahliannya sesuai dengan kompetensi PS.</t>
  </si>
  <si>
    <t>4.3.1.c</t>
  </si>
  <si>
    <t>Dosen tetap yang memiliki jabatan lektor kepala dan guru besar yang bidang keahliannya sesuai dengan kompetensi PS.</t>
  </si>
  <si>
    <t>4.3.1.d</t>
  </si>
  <si>
    <t>Dosen yang memiliki Sertifikat Pendidik Profesional.</t>
  </si>
  <si>
    <t>4.3.2</t>
  </si>
  <si>
    <t>Rasio mahasiswa terhadap dosen tetap yang bidang keahliannya sesuai dengan bidang PS.</t>
  </si>
  <si>
    <t>4.3.3</t>
  </si>
  <si>
    <t>4.3.4 &amp; 4.3.5</t>
  </si>
  <si>
    <t>Kesesuaian keahlian (pendidikan terakhir) dosen dengan mata kuliah yang diajarkannya.</t>
  </si>
  <si>
    <t>Tingkat kehadiran dosen tetap dalam mengajar.</t>
  </si>
  <si>
    <t>4.4.1</t>
  </si>
  <si>
    <t>Rasio jumlah dosen tidak tetap, terhadap jumlah seluruh dosen.</t>
  </si>
  <si>
    <t>4.4.2.a</t>
  </si>
  <si>
    <t>Kesesuaian keahlian dosen tidak tetap dengan mata kuliah yang diampu.</t>
  </si>
  <si>
    <t>4.4.2.b</t>
  </si>
  <si>
    <t>Pelaksanaan tugas atau tingkat kehadiran dosen tidak tetap dalam mengajar.</t>
  </si>
  <si>
    <t>4.5.1</t>
  </si>
  <si>
    <t>Kegiatan tenaga ahli/pakar sebagai pembicara dalam seminar/pelatihan, pembicara tamu, dsb, dari luar PT sendiri (tidak termasuk dosen tidak tetap).</t>
  </si>
  <si>
    <t>4.5.2</t>
  </si>
  <si>
    <t>Peningkatan kemampuan dosen tetap melalui program tugas belajar dalam bidang yang sesuai dengan bidang PS.</t>
  </si>
  <si>
    <t>4.5.3</t>
  </si>
  <si>
    <t>4.5.4</t>
  </si>
  <si>
    <t xml:space="preserve">Prestasi dalam mendapatkan penghargaan hibah, pendanaan program dan kegiatan akademik dari tingkat nasional dan internasional; besaran dan proporsi dana penelitian dari sumber institusi sendiri dan luar institusi. </t>
  </si>
  <si>
    <t>4.5.5</t>
  </si>
  <si>
    <t>Reputasi dan keluasan jejaring dosen dalam bidang akademik dan profesi.</t>
  </si>
  <si>
    <t>4.6.1.a</t>
  </si>
  <si>
    <t>Pustakawan: jumlah dan kualifikasinya.</t>
  </si>
  <si>
    <t>4.6.1.b</t>
  </si>
  <si>
    <t>Laboran, analis, teknisi, operator: jumlah, kualifikasi, dan mutu kerjanya.</t>
  </si>
  <si>
    <t>4.6.1.c</t>
  </si>
  <si>
    <t>Tenaga administrasi: jumlah dan kualifikasinya.</t>
  </si>
  <si>
    <t>4.6.2</t>
  </si>
  <si>
    <t>Upaya PS dalam meningkatkan kualifikasi dan kompetensi tenaga kependidikan.</t>
  </si>
  <si>
    <t>5.1.1.a</t>
  </si>
  <si>
    <t>Struktur kurikulum (harus memuat standar kompetensi lulusan yang terstruktur dalam kompetensi utama, pendukung dan lainnya ).</t>
  </si>
  <si>
    <t>5.1.1.b</t>
  </si>
  <si>
    <t>Orientasi dan kesesuaian kurikulum dengan visi dan misi PS.</t>
  </si>
  <si>
    <t>5.1.2.a</t>
  </si>
  <si>
    <t xml:space="preserve">Kesesuaian mata kuliah dengan standar kompetensi. </t>
  </si>
  <si>
    <t>5.1.2.b</t>
  </si>
  <si>
    <t>5.1.2.c</t>
  </si>
  <si>
    <t>Matakuliah dilengkapi dengan deskripsi matakuliah, silabus dan SAP.</t>
  </si>
  <si>
    <t>5.1.3</t>
  </si>
  <si>
    <t>Fleksibilitas mata kuliah pilihan.</t>
  </si>
  <si>
    <t>5.1.4</t>
  </si>
  <si>
    <t>Substansi praktikum dan pelaksanaan praktikum.</t>
  </si>
  <si>
    <t>5.2.a</t>
  </si>
  <si>
    <t>Pelaksanaan peninjauan kurikulum selama 5 tahun terakhir.</t>
  </si>
  <si>
    <t>5.2.b</t>
  </si>
  <si>
    <t>Penyesuaian kurikulum dengan perkembangan Ipteks dan kebutuhan.</t>
  </si>
  <si>
    <t>5.3.1.a</t>
  </si>
  <si>
    <t>5.3.1.b</t>
  </si>
  <si>
    <t>Mekanisme penyusunan materi perkuliahan.</t>
  </si>
  <si>
    <t>5.3.2</t>
  </si>
  <si>
    <t>Mutu soal ujian.</t>
  </si>
  <si>
    <t>Rata-rata banyaknya mahasiswa per dosen Pembimbing Akademik per semester.</t>
  </si>
  <si>
    <t>Pelaksanaan kegiatan pembimbingan akademik.</t>
  </si>
  <si>
    <t>Jumlah rata-rata pertemuan pembimbingan akademik per mahasiswa per semester.</t>
  </si>
  <si>
    <t>Efektivitas kegiatan pembimbingan akademik.</t>
  </si>
  <si>
    <t>5.5.1.a</t>
  </si>
  <si>
    <t>Ketersediaan panduan, sosialisasi,  dan penggunaan.</t>
  </si>
  <si>
    <t>5.5.1.b</t>
  </si>
  <si>
    <t xml:space="preserve">Rata-rata mahasiswa per dosen pembimbing tugas akhir. </t>
  </si>
  <si>
    <t>5.5.1.c</t>
  </si>
  <si>
    <t>5.5.1.d</t>
  </si>
  <si>
    <t>Kualifikasi akademik dosen pembimbing tugas akhir.</t>
  </si>
  <si>
    <t>5.5.2</t>
  </si>
  <si>
    <t>Rata-rata waktu penyelesaian penulisan tugas akhir.</t>
  </si>
  <si>
    <t xml:space="preserve">Upaya perbaikan sistem pembelajaran yang telah dilakukan selama tiga tahun terakhir. </t>
  </si>
  <si>
    <t>5.7.1</t>
  </si>
  <si>
    <t>Kebijakan tentang suasana akademik (otonomi keilmuan, kebebasan akademik, kebebasan mimbar akademik).</t>
  </si>
  <si>
    <t>5.7.2</t>
  </si>
  <si>
    <t>Ketersediaan dan jenis prasarana, sarana dan dana yang memungkinkan terciptanya interaksi akademik antara sivitas akademika.</t>
  </si>
  <si>
    <t>5.7.3</t>
  </si>
  <si>
    <t>Program dan kegiatan akademik untuk menciptakan suasana akademik (seminar, simposium, lokakarya, bedah buku, penelitian bersama dll).</t>
  </si>
  <si>
    <t>5.7.4</t>
  </si>
  <si>
    <t>Interaksi akademik antara dosen-mahasiswa.</t>
  </si>
  <si>
    <t>5.7.5</t>
  </si>
  <si>
    <t>Pengembangan perilaku kecendekiawanan.</t>
  </si>
  <si>
    <t xml:space="preserve">Keterlibatan program studi dalam perencanaan target kinerja, perencanaan kegiatan/ kerja dan perencanaan/alokasi dan pengelolaan dana. </t>
  </si>
  <si>
    <t>6.2.1</t>
  </si>
  <si>
    <t>6.2.2</t>
  </si>
  <si>
    <t>Dana penelitian dalam tiga tahun terakhir.</t>
  </si>
  <si>
    <t>6.2.3</t>
  </si>
  <si>
    <t>Dana yang diperoleh dalam rangka pengabdian kepada masyarakat dalam tiga  tahun terakhir.</t>
  </si>
  <si>
    <t>6.3.1</t>
  </si>
  <si>
    <t>Luas ruang kerja dosen</t>
  </si>
  <si>
    <t>6.3.2</t>
  </si>
  <si>
    <t>Prasarana (kantor, ruang kelas, ruang laboratorium, studio, ruang perpustakaan, kebun percobaan, dsb. kecuali  ruang dosen) yang dipergunakan PS dalam proses pembelajaran.</t>
  </si>
  <si>
    <t>6.3.3</t>
  </si>
  <si>
    <t>Prasarana lain yang menunjang (misalnya tempat olah raga, ruang bersama, ruang himpunan mahasiswa, poliklinik).</t>
  </si>
  <si>
    <t>6.4.1.a</t>
  </si>
  <si>
    <t>Bahan pustaka yang berupa buku teks.</t>
  </si>
  <si>
    <t>6.4.1.b</t>
  </si>
  <si>
    <t>Bahan pustaka yang berupa disertasi/tesis/ skripsi/ tugas akhir.</t>
  </si>
  <si>
    <t>6.4.1.c</t>
  </si>
  <si>
    <t>Bahan pustaka yang berupa jurnal ilmiah terakreditasi Dikti.</t>
  </si>
  <si>
    <t>6.4.1.d</t>
  </si>
  <si>
    <t>Bahan pustaka yang berupa jurnal ilmiah internasional .</t>
  </si>
  <si>
    <t>6.4.1e</t>
  </si>
  <si>
    <t>6.4.2</t>
  </si>
  <si>
    <t>Akses ke perpustakaan di luar PT atau sumber pustaka lainnya.</t>
  </si>
  <si>
    <t>6.4.3</t>
  </si>
  <si>
    <t>6.5.1</t>
  </si>
  <si>
    <t>6.5.2</t>
  </si>
  <si>
    <t>Aksesibilitas data dalam sistem informasi.</t>
  </si>
  <si>
    <t>7.1.1</t>
  </si>
  <si>
    <t>Jumlah penelitian yang dilakukan oleh dosen tetap yang bidang keahliannya sesuai dengan PS per tahun, selama 3 tahun.</t>
  </si>
  <si>
    <t>7.1.2</t>
  </si>
  <si>
    <t>Keterlibatan mahasiswa yang melakukan tugas akhir dalam penelitian dosen.</t>
  </si>
  <si>
    <t>7.1.3</t>
  </si>
  <si>
    <t>Jumlah artikel ilmiah yang dihasilkan oleh dosen tetap yang bidang keahliannya sesuai dengan PS per tahun, selama tiga tahun.</t>
  </si>
  <si>
    <t>7.1.4</t>
  </si>
  <si>
    <t>Karya-karya PS/institusi yang telah memperoleh perlindungan Hak atas Kekayaan Intelektual (HaKI) dalam tiga tahun terakhir.</t>
  </si>
  <si>
    <t>7.2.1</t>
  </si>
  <si>
    <t>Jumlah kegiatan Pengabdian kepada Masyarakat (PkM) yang dilakukan oleh dosen tetap yang bidang keahliannya sesuai dengan PS.</t>
  </si>
  <si>
    <t>7.2.2</t>
  </si>
  <si>
    <t>Keterlibatan mahasiswa dalam kegiatan pengabdian kepada masyarakat.</t>
  </si>
  <si>
    <t>7.3.1</t>
  </si>
  <si>
    <t>Kegiatan kerjasama dengan instansi di dalam negeri dalam tiga tahun terakhir.</t>
  </si>
  <si>
    <t>7.3.2</t>
  </si>
  <si>
    <t>Kegiatan kerjasama dengan instansi di luar negeri dalam tiga tahun terakhir.</t>
  </si>
  <si>
    <t>Catatan: *Nilai skala 0 - 4</t>
  </si>
  <si>
    <t>Tanda Tangan :</t>
  </si>
  <si>
    <t xml:space="preserve">Persentase mata kuliah  yang dalam penentuan nilai akhirnya memberikan bobot pada tugas-tugas (PR atau makalah) ≥ 20%. </t>
  </si>
  <si>
    <r>
      <t xml:space="preserve">Penilaian Dokumen </t>
    </r>
    <r>
      <rPr>
        <b/>
        <u/>
        <sz val="12"/>
        <color indexed="8"/>
        <rFont val="Arial"/>
        <family val="2"/>
      </rPr>
      <t>Perorangan</t>
    </r>
  </si>
  <si>
    <r>
      <t xml:space="preserve">Kejelasan dan kerealistikan </t>
    </r>
    <r>
      <rPr>
        <sz val="10"/>
        <color indexed="8"/>
        <rFont val="Arial"/>
        <family val="2"/>
      </rPr>
      <t>visi, misi, tujuan, dan sasaran program studi.</t>
    </r>
  </si>
  <si>
    <r>
      <t xml:space="preserve">Sistem pengelolaan fungsional dan operasional program studi mencakup: </t>
    </r>
    <r>
      <rPr>
        <i/>
        <sz val="10"/>
        <color indexed="8"/>
        <rFont val="Arial"/>
        <family val="2"/>
      </rPr>
      <t>planning, organizing</t>
    </r>
    <r>
      <rPr>
        <sz val="10"/>
        <color indexed="8"/>
        <rFont val="Arial"/>
        <family val="2"/>
      </rPr>
      <t xml:space="preserve">, </t>
    </r>
    <r>
      <rPr>
        <i/>
        <sz val="10"/>
        <color indexed="8"/>
        <rFont val="Arial"/>
        <family val="2"/>
      </rPr>
      <t xml:space="preserve">staffing, leading, controlling </t>
    </r>
    <r>
      <rPr>
        <sz val="10"/>
        <color indexed="8"/>
        <rFont val="Arial"/>
        <family val="2"/>
      </rPr>
      <t>yang efektif dilaksanakan.</t>
    </r>
  </si>
  <si>
    <r>
      <t>Upaya untuk menjamin keberlanjutan (</t>
    </r>
    <r>
      <rPr>
        <i/>
        <sz val="10"/>
        <color indexed="8"/>
        <rFont val="Arial"/>
        <family val="2"/>
      </rPr>
      <t>sustainability</t>
    </r>
    <r>
      <rPr>
        <sz val="10"/>
        <color indexed="8"/>
        <rFont val="Arial"/>
        <family val="2"/>
      </rPr>
      <t>) program studi.</t>
    </r>
  </si>
  <si>
    <r>
      <t xml:space="preserve">Rata-rata beban dosen per semester, atau rata-rata </t>
    </r>
    <r>
      <rPr>
        <i/>
        <sz val="10"/>
        <color indexed="8"/>
        <rFont val="Arial"/>
        <family val="2"/>
      </rPr>
      <t xml:space="preserve">FTE </t>
    </r>
    <r>
      <rPr>
        <sz val="10"/>
        <color indexed="8"/>
        <rFont val="Arial"/>
        <family val="2"/>
      </rPr>
      <t>(</t>
    </r>
    <r>
      <rPr>
        <i/>
        <sz val="10"/>
        <color indexed="8"/>
        <rFont val="Arial"/>
        <family val="2"/>
      </rPr>
      <t>Fulltime Teaching Equivalent</t>
    </r>
    <r>
      <rPr>
        <sz val="10"/>
        <color indexed="8"/>
        <rFont val="Arial"/>
        <family val="2"/>
      </rPr>
      <t xml:space="preserve">).  </t>
    </r>
  </si>
  <si>
    <r>
      <t xml:space="preserve">Kegiatan dosen tetap yang bidang keahliannya sesuai dengan PS dalam seminar ilmiah/ lokakarya/ penataran/ </t>
    </r>
    <r>
      <rPr>
        <i/>
        <sz val="10"/>
        <color indexed="8"/>
        <rFont val="Arial"/>
        <family val="2"/>
      </rPr>
      <t>workshop</t>
    </r>
    <r>
      <rPr>
        <sz val="10"/>
        <color indexed="8"/>
        <rFont val="Arial"/>
        <family val="2"/>
      </rPr>
      <t>/ pagelaran/ pameran/peragaan yang tidak hanya melibatkan dosen PT sendiri.</t>
    </r>
  </si>
  <si>
    <r>
      <t>Pelaksanaan pembelajaran memiliki m</t>
    </r>
    <r>
      <rPr>
        <sz val="10"/>
        <color indexed="8"/>
        <rFont val="Arial"/>
        <family val="2"/>
      </rPr>
      <t>ekanisme untuk memonitor, mengkaji, dan memperbaiki secara periodik kegiatan perkuliahan (kehadiran dosen dan mahasiswa), penyusunan materi perkuliahan, serta penilaian hasil belajar.</t>
    </r>
  </si>
  <si>
    <r>
      <t>Besarnya d</t>
    </r>
    <r>
      <rPr>
        <sz val="10"/>
        <color indexed="8"/>
        <rFont val="Arial"/>
        <family val="2"/>
      </rPr>
      <t>ana (termasuk hibah) yang dikelola dalam tiga tahun terakhir.</t>
    </r>
  </si>
  <si>
    <r>
      <t>Bahan pustaka yang berupa prosiding seminar</t>
    </r>
    <r>
      <rPr>
        <i/>
        <sz val="10"/>
        <color indexed="8"/>
        <rFont val="Arial"/>
        <family val="2"/>
      </rPr>
      <t xml:space="preserve"> </t>
    </r>
    <r>
      <rPr>
        <sz val="10"/>
        <color indexed="8"/>
        <rFont val="Arial"/>
        <family val="2"/>
      </rPr>
      <t>dalam tiga tahun terakhir.</t>
    </r>
  </si>
  <si>
    <r>
      <t xml:space="preserve">Ketersediaan, akses dan pendayagunaan sarana utama di lab </t>
    </r>
    <r>
      <rPr>
        <sz val="10"/>
        <color indexed="8"/>
        <rFont val="Arial"/>
        <family val="2"/>
      </rPr>
      <t xml:space="preserve">(tempat praktikum, bengkel, studio, ruang simulasi, rumah sakit, puskesmas/balai kesehatan, </t>
    </r>
    <r>
      <rPr>
        <i/>
        <sz val="10"/>
        <color indexed="8"/>
        <rFont val="Arial"/>
        <family val="2"/>
      </rPr>
      <t>green house</t>
    </r>
    <r>
      <rPr>
        <sz val="10"/>
        <color indexed="8"/>
        <rFont val="Arial"/>
        <family val="2"/>
      </rPr>
      <t>, lahan untuk pertanian, dan sejenisnya).</t>
    </r>
  </si>
  <si>
    <r>
      <t>Sistem informasi</t>
    </r>
    <r>
      <rPr>
        <sz val="10"/>
        <color indexed="8"/>
        <rFont val="Arial"/>
        <family val="2"/>
      </rPr>
      <t xml:space="preserve"> dan fasilitas yang digunakan PS</t>
    </r>
    <r>
      <rPr>
        <sz val="10"/>
        <color indexed="8"/>
        <rFont val="Arial"/>
        <family val="2"/>
      </rPr>
      <t xml:space="preserve"> dalam proses pembelajaran </t>
    </r>
    <r>
      <rPr>
        <sz val="10"/>
        <color indexed="8"/>
        <rFont val="Arial"/>
        <family val="2"/>
      </rPr>
      <t>(</t>
    </r>
    <r>
      <rPr>
        <i/>
        <sz val="10"/>
        <color indexed="8"/>
        <rFont val="Arial"/>
        <family val="2"/>
      </rPr>
      <t>hardware</t>
    </r>
    <r>
      <rPr>
        <sz val="10"/>
        <color indexed="8"/>
        <rFont val="Arial"/>
        <family val="2"/>
      </rPr>
      <t xml:space="preserve">, </t>
    </r>
    <r>
      <rPr>
        <i/>
        <sz val="10"/>
        <color indexed="8"/>
        <rFont val="Arial"/>
        <family val="2"/>
      </rPr>
      <t>software</t>
    </r>
    <r>
      <rPr>
        <sz val="10"/>
        <color indexed="8"/>
        <rFont val="Arial"/>
        <family val="2"/>
      </rPr>
      <t xml:space="preserve">, </t>
    </r>
    <r>
      <rPr>
        <i/>
        <sz val="10"/>
        <color indexed="8"/>
        <rFont val="Arial"/>
        <family val="2"/>
      </rPr>
      <t>e-learning,</t>
    </r>
    <r>
      <rPr>
        <sz val="10"/>
        <color indexed="8"/>
        <rFont val="Arial"/>
        <family val="2"/>
      </rPr>
      <t xml:space="preserve"> dan perpustakaan).</t>
    </r>
  </si>
  <si>
    <t xml:space="preserve">Nama Perguruan Tinggi </t>
  </si>
  <si>
    <t xml:space="preserve">Nama Fakultas </t>
  </si>
  <si>
    <t xml:space="preserve">Nama Program Studi </t>
  </si>
  <si>
    <t xml:space="preserve">Nama Asesor </t>
  </si>
  <si>
    <t>FORMAT 2. PENILAIAN EVALUASI DIRI PROGRAM STUDI</t>
  </si>
  <si>
    <t>Penilaian*</t>
  </si>
  <si>
    <t>Asr-1</t>
  </si>
  <si>
    <t>Asr-2</t>
  </si>
  <si>
    <t>Nilai Akhir</t>
  </si>
  <si>
    <t>Akurasi dan kelengkapan data serta informasi yang digunakan untuk menyusun laporan evaluasi-diri</t>
  </si>
  <si>
    <t>a</t>
  </si>
  <si>
    <r>
      <t xml:space="preserve">Cara  program studi mengemukakan fakta tentang situasi program studi, pada semua komponen evaluasi-diri, a.l. kelengkapan data, kurun waktu yang cukup, </t>
    </r>
    <r>
      <rPr>
        <i/>
        <sz val="12"/>
        <color indexed="8"/>
        <rFont val="Arial Narrow"/>
        <family val="2"/>
      </rPr>
      <t>cross-reference</t>
    </r>
    <r>
      <rPr>
        <sz val="12"/>
        <color indexed="8"/>
        <rFont val="Arial Narrow"/>
        <family val="2"/>
      </rPr>
      <t>.</t>
    </r>
  </si>
  <si>
    <t>b</t>
  </si>
  <si>
    <t>Pengolahan data menjadi informasi yang bermanfaat, a.l. menggunakan metode-metode kuantitatif yang tepat, serta teknik representasi yang relevan.</t>
  </si>
  <si>
    <t>Kualitas analisis yang digunakan untuk mengidentifikasi dan merumuskan masalah pada semua komponen evaluasi-diri.</t>
  </si>
  <si>
    <t xml:space="preserve">Identifikasi dan perumusan masalah dilakukan dengan baik.  </t>
  </si>
  <si>
    <r>
      <t xml:space="preserve">Ketepatan dalam melakukan </t>
    </r>
    <r>
      <rPr>
        <i/>
        <sz val="12"/>
        <color indexed="8"/>
        <rFont val="Arial Narrow"/>
        <family val="2"/>
      </rPr>
      <t>appraisal,</t>
    </r>
    <r>
      <rPr>
        <sz val="12"/>
        <color indexed="8"/>
        <rFont val="Arial Narrow"/>
        <family val="2"/>
      </rPr>
      <t xml:space="preserve"> </t>
    </r>
    <r>
      <rPr>
        <i/>
        <sz val="12"/>
        <color indexed="8"/>
        <rFont val="Arial Narrow"/>
        <family val="2"/>
      </rPr>
      <t>judgment</t>
    </r>
    <r>
      <rPr>
        <sz val="12"/>
        <color indexed="8"/>
        <rFont val="Arial Narrow"/>
        <family val="2"/>
      </rPr>
      <t xml:space="preserve">, evaluasi, asesmen atas fakta tentang situasi di program studi. </t>
    </r>
  </si>
  <si>
    <t>c</t>
  </si>
  <si>
    <t>Permasalahan dan kelemahan yang ada dirumuskan dengan baik.</t>
  </si>
  <si>
    <t>d</t>
  </si>
  <si>
    <t>Deskripsi/Analisis SWOT berkenaan dengan ketepatan penempatan aspek dalam komponen SWOT, tumpuan penekanan analisis.</t>
  </si>
  <si>
    <t>Strategi pengembangan dan perbaikan program</t>
  </si>
  <si>
    <t xml:space="preserve">Ketepatan program studi memilih/ menentukan rencana perbaikan dari kekurangan yang ada. </t>
  </si>
  <si>
    <t xml:space="preserve">Kejelasan program studi menunjukkan cara untuk mengatasi masalah yang ada. </t>
  </si>
  <si>
    <t xml:space="preserve">Kelayakan dan kerealistikan strategi dan sasaran yang ingin dicapai. </t>
  </si>
  <si>
    <t>Keterpaduan dan keterkaitan antar komponen evaluasi-diri</t>
  </si>
  <si>
    <t>Komprehensif (dalam, luas dan terpadu).</t>
  </si>
  <si>
    <t>Kejelasan analisis intra dan antar komponen evaluasi-diri.</t>
  </si>
  <si>
    <t>Jumlah</t>
  </si>
  <si>
    <t>Catatan: *skor 1 - 4</t>
  </si>
  <si>
    <t>FORMAT 3. PENILAIAN BORANG YANG DIISI FAKULTAS/ SEKOLAH TINGGI</t>
  </si>
  <si>
    <t>Informasi dari Portofolio</t>
  </si>
  <si>
    <t>1.1.1</t>
  </si>
  <si>
    <r>
      <t xml:space="preserve">Kejelasan dan kerealistikan </t>
    </r>
    <r>
      <rPr>
        <sz val="10"/>
        <color indexed="8"/>
        <rFont val="Arial"/>
        <family val="2"/>
      </rPr>
      <t>visi, misi, tujuan, dan sasaran Fakultas/Sekolah Tinggi.</t>
    </r>
  </si>
  <si>
    <t>1.1.2</t>
  </si>
  <si>
    <r>
      <t xml:space="preserve">Pemahaman </t>
    </r>
    <r>
      <rPr>
        <sz val="10"/>
        <color indexed="8"/>
        <rFont val="Arial"/>
        <family val="2"/>
      </rPr>
      <t xml:space="preserve"> visi, misi, tujuan, dan sasaran Fakultas/ Sekolah Tinggi oleh seluruh pemangku kepentingan internal (</t>
    </r>
    <r>
      <rPr>
        <i/>
        <sz val="10"/>
        <color indexed="8"/>
        <rFont val="Arial"/>
        <family val="2"/>
      </rPr>
      <t>internal</t>
    </r>
    <r>
      <rPr>
        <sz val="10"/>
        <color indexed="8"/>
        <rFont val="Arial"/>
        <family val="2"/>
      </rPr>
      <t xml:space="preserve"> </t>
    </r>
    <r>
      <rPr>
        <i/>
        <sz val="10"/>
        <color indexed="8"/>
        <rFont val="Arial"/>
        <family val="2"/>
      </rPr>
      <t>stakeholders</t>
    </r>
    <r>
      <rPr>
        <sz val="10"/>
        <color indexed="8"/>
        <rFont val="Arial"/>
        <family val="2"/>
      </rPr>
      <t>): sivitas akademika (dosen dan mahasiswa) dan tenaga penunjang.</t>
    </r>
  </si>
  <si>
    <t>Tatapamong menjamin terwujudnya visi, terlaksanakannya misi, tercapainya tujuan, berhasilnya strategi yang digunakan secara kredibel, transparan, akuntabel, bertanggung jawab, dan adil.</t>
  </si>
  <si>
    <t>Kelengkapan dan efisiensi dalam struktur organisasi, serta dukungan struktur organisasi terhadap pengelolaan program-program studi di bawahnya.</t>
  </si>
  <si>
    <t>Kepemimpinan Fakultas/Sekolah Tinggi memiliki karakteristik: kepemimpinan operasional, kepemimpinan organisasi, kepemimpinan publik.</t>
  </si>
  <si>
    <r>
      <t xml:space="preserve">Sistem pengelolaan fungsional dan operasional Fakultas/Sekolah Tinggi mencakup: </t>
    </r>
    <r>
      <rPr>
        <i/>
        <sz val="10"/>
        <color indexed="8"/>
        <rFont val="Arial"/>
        <family val="2"/>
      </rPr>
      <t>planning, organizing</t>
    </r>
    <r>
      <rPr>
        <sz val="10"/>
        <color indexed="8"/>
        <rFont val="Arial"/>
        <family val="2"/>
      </rPr>
      <t xml:space="preserve">, </t>
    </r>
    <r>
      <rPr>
        <i/>
        <sz val="10"/>
        <color indexed="8"/>
        <rFont val="Arial"/>
        <family val="2"/>
      </rPr>
      <t xml:space="preserve">staffing, leading, controlling </t>
    </r>
    <r>
      <rPr>
        <sz val="10"/>
        <color indexed="8"/>
        <rFont val="Arial"/>
        <family val="2"/>
      </rPr>
      <t>yang efektif dilaksanakan.</t>
    </r>
  </si>
  <si>
    <t>2.5.1</t>
  </si>
  <si>
    <t>Keberadaan dan efektivitas unit pelaksana penjaminan mutu.</t>
  </si>
  <si>
    <t>2.5.2</t>
  </si>
  <si>
    <t>Memiliki standar mutu.</t>
  </si>
  <si>
    <t>3.1.1</t>
  </si>
  <si>
    <t>Sistem rekrutmen dan seleksi mahasiswa baru dan efektivitas implementasinya.</t>
  </si>
  <si>
    <t>Rasio mahasiswa reguler dan transfer.</t>
  </si>
  <si>
    <t>Motivasi penerimaan mahasiswa transfer.</t>
  </si>
  <si>
    <t>Rata-rata masa studi lulusan dan IPK rata-rata.</t>
  </si>
  <si>
    <t>Upaya pengembangan dan peningkatan mutu lulusan: jenis program yang dilakukan dan efektivitas pelaksanaannya.</t>
  </si>
  <si>
    <t>4.1.1</t>
  </si>
  <si>
    <t xml:space="preserve">Kecukupan dan kualifikasi dosen tetap  pada Fakultas/Sekolah Tinggi. </t>
  </si>
  <si>
    <t>4.1.2.a</t>
  </si>
  <si>
    <t>Upaya pengembangan dan peningkatan mutu dosen tetap.</t>
  </si>
  <si>
    <t>4.1.2.b</t>
  </si>
  <si>
    <t>Dosen yang tugas belajar.</t>
  </si>
  <si>
    <t>4.1.3</t>
  </si>
  <si>
    <t>Upaya fakultas dalam mengembangkan tenaga dosen tetap.</t>
  </si>
  <si>
    <t>Kecukupan dan kualifikasi tenaga kependidikan.</t>
  </si>
  <si>
    <t>Peran Fakultas/Sekolah Tinggi dalam penyusunan, implementasi, dan pengembangan kurikulum untuk program studi dibawahnya.</t>
  </si>
  <si>
    <t>Peran Fakultas/Sekolah Tinggi dalam memonitor dan mengevaluasi proses pembelajaran.</t>
  </si>
  <si>
    <t>Peran Fakultas/Sekolah Tinggi dalam penciptaan suasana akademik yang kondusif.</t>
  </si>
  <si>
    <t>6.1.1.a</t>
  </si>
  <si>
    <t>Penggunaan dana untuk operasional (pendidikan, penelitian, pengabdian pada masyarakat) di Fakultas/Sekolah Tinggi</t>
  </si>
  <si>
    <t>6.1.1.b</t>
  </si>
  <si>
    <t>Dana penelitian dalam tiga tahun terakhir di Fakultas/ Sekolah Tinggi</t>
  </si>
  <si>
    <t>6.1.1.c</t>
  </si>
  <si>
    <t>Dana yang diperoleh dalam rangka pelayanan/ pengabdian kepada masyarakat dalam tiga  tahun terakhir di Fakultas/Sekolah Tinggi</t>
  </si>
  <si>
    <t>6.1.2.a</t>
  </si>
  <si>
    <t>Kecukupan dana yang diperoleh Fakultas/Sekolah Tinggi.</t>
  </si>
  <si>
    <t>6.1.2.b</t>
  </si>
  <si>
    <t>Upaya pengembangan dana (upaya penanggulangan jika terdapat kekurangan, atau upaya mencari tambahan dana).</t>
  </si>
  <si>
    <t xml:space="preserve">Investasi untuk pengadaan sarana dalam tiga tahun terakhir dibandingkan dengan kebutuhan saat ini. </t>
  </si>
  <si>
    <t xml:space="preserve">Rencana investasi untuk pengadaan sarana dalam lima tahun ke depan. </t>
  </si>
  <si>
    <r>
      <t>Mutu dan kecukupan akses p</t>
    </r>
    <r>
      <rPr>
        <sz val="10"/>
        <color indexed="8"/>
        <rFont val="Arial"/>
        <family val="2"/>
      </rPr>
      <t>rasarana yang dikelola Fakultas/Sekolah Tinggi untuk keperluan PS.</t>
    </r>
  </si>
  <si>
    <t>Rencana pengembangan prasarana oleh Fakultas/Sekolah tinggi untuk program studi.</t>
  </si>
  <si>
    <r>
      <t>Sistem informasi</t>
    </r>
    <r>
      <rPr>
        <sz val="10"/>
        <color indexed="8"/>
        <rFont val="Arial"/>
        <family val="2"/>
      </rPr>
      <t xml:space="preserve"> dan fasilitas yang digunakan Fakultas</t>
    </r>
    <r>
      <rPr>
        <sz val="10"/>
        <color indexed="8"/>
        <rFont val="Arial"/>
        <family val="2"/>
      </rPr>
      <t xml:space="preserve"> dalam proses pembelajaran </t>
    </r>
    <r>
      <rPr>
        <sz val="10"/>
        <color indexed="8"/>
        <rFont val="Arial"/>
        <family val="2"/>
      </rPr>
      <t>(</t>
    </r>
    <r>
      <rPr>
        <i/>
        <sz val="10"/>
        <color indexed="8"/>
        <rFont val="Arial"/>
        <family val="2"/>
      </rPr>
      <t>hardware</t>
    </r>
    <r>
      <rPr>
        <sz val="10"/>
        <color indexed="8"/>
        <rFont val="Arial"/>
        <family val="2"/>
      </rPr>
      <t xml:space="preserve">, </t>
    </r>
    <r>
      <rPr>
        <i/>
        <sz val="10"/>
        <color indexed="8"/>
        <rFont val="Arial"/>
        <family val="2"/>
      </rPr>
      <t>software</t>
    </r>
    <r>
      <rPr>
        <sz val="10"/>
        <color indexed="8"/>
        <rFont val="Arial"/>
        <family val="2"/>
      </rPr>
      <t xml:space="preserve">, </t>
    </r>
    <r>
      <rPr>
        <i/>
        <sz val="10"/>
        <color indexed="8"/>
        <rFont val="Arial"/>
        <family val="2"/>
      </rPr>
      <t>e-learning,</t>
    </r>
    <r>
      <rPr>
        <sz val="10"/>
        <color indexed="8"/>
        <rFont val="Arial"/>
        <family val="2"/>
      </rPr>
      <t xml:space="preserve"> dan perpustakaan).</t>
    </r>
  </si>
  <si>
    <r>
      <t>Sistem informasi</t>
    </r>
    <r>
      <rPr>
        <sz val="10"/>
        <color indexed="8"/>
        <rFont val="Arial"/>
        <family val="2"/>
      </rPr>
      <t xml:space="preserve"> dan fasilitas yang digunakan Fakultas</t>
    </r>
    <r>
      <rPr>
        <sz val="10"/>
        <color indexed="8"/>
        <rFont val="Arial"/>
        <family val="2"/>
      </rPr>
      <t xml:space="preserve"> dalam administrasi </t>
    </r>
    <r>
      <rPr>
        <sz val="10"/>
        <color indexed="8"/>
        <rFont val="Arial"/>
        <family val="2"/>
      </rPr>
      <t>(akademik, keuangan, personil, dll.).</t>
    </r>
  </si>
  <si>
    <t xml:space="preserve">Media/cara penyebaran informasi/kebijakan untuk sivitas akademika di fakultas/sekolah tinggi. </t>
  </si>
  <si>
    <t>6.4.4</t>
  </si>
  <si>
    <t>Rencana strategi pengembangan sistem informasi jangka panjang: mempertimbangkan perkembangan teknologi informasi, dan komitmen Fakultas/Sekolah Tinggi dalam hal pendanaan.</t>
  </si>
  <si>
    <t>7.1.1.a</t>
  </si>
  <si>
    <t>Banyaknya kegiatan penelitian (rata-rata jumlah penelitian per dosen per tiga tahun).</t>
  </si>
  <si>
    <t>7.1.1.b</t>
  </si>
  <si>
    <t>Besar dana penelitian.</t>
  </si>
  <si>
    <t>Upaya pengembangan kegiatan penelitian oleh pihak Fakultas/ Sekolah Tinggi.</t>
  </si>
  <si>
    <t>7.2.1.a</t>
  </si>
  <si>
    <t xml:space="preserve">Banyak kegiatan PkM. </t>
  </si>
  <si>
    <t>7.2.1.b</t>
  </si>
  <si>
    <t>Besar dana PkM.</t>
  </si>
  <si>
    <t xml:space="preserve">Upaya pengembangan. </t>
  </si>
  <si>
    <t>Jumlah dan mutu kerjasama dengan instansi di luar negeri dalam tiga tahun terakhir.</t>
  </si>
  <si>
    <t>Jumlah dan mutu kerjasama dengan instansi di dalam negeri dalam tiga tahun terakhir.</t>
  </si>
  <si>
    <t>FORMAT 4. BERITA  ACARA ASESMEN LAPANGAN  PROGRAM STUDI</t>
  </si>
  <si>
    <t>BERITA ACARA ASESMEN LAPANGAN PROGRAM STUDI</t>
  </si>
  <si>
    <t>UNTUK AKREDITASI PROGRAM STUDI JENJANG S1</t>
  </si>
  <si>
    <t>Dari kegiatan tersebut diperoleh informasi butir-butir borang yang sesuai/tidak sesuai dengan kenyataan, dengan penjelasan sebagai tercantum di dalam daftar sebagai berikut.</t>
  </si>
  <si>
    <t>Informasi dari Borang PS Setelah Diverifikasi Melalui Wawancara dan Observasi</t>
  </si>
  <si>
    <t>Keterangan</t>
  </si>
  <si>
    <t>Catatan: *Coret yang tidak perlu</t>
  </si>
  <si>
    <t>Asesor</t>
  </si>
  <si>
    <t>Ketua Program Studi</t>
  </si>
  <si>
    <t>atau yang Ditugaskan</t>
  </si>
  <si>
    <t>(                      )</t>
  </si>
  <si>
    <t>BERITA ACARA ASESMEN LAPANGAN FAKULTAS/SEKOLAH TINGGI</t>
  </si>
  <si>
    <t>FORMAT 6. LAPORAN PENILAIAN AKHIR BORANG PROGRAM STUDI</t>
  </si>
  <si>
    <t>No.Butir</t>
  </si>
  <si>
    <t>Penjelasan/Dasar Penilaian yang Diperoleh dari Dokumen Borang, Wawancara, dan Observasi</t>
  </si>
  <si>
    <t>Rekomendasi Pembinaan</t>
  </si>
  <si>
    <t>Penjelasan/Dasar Penilaian yang Diperoleh dari Dokumen ED dan Observasi</t>
  </si>
  <si>
    <t>Standar 4. Sumber Daya Manusia</t>
  </si>
  <si>
    <t>Standar 5. Kurikulum, Pembelajaran, dan Suasana Akademik</t>
  </si>
  <si>
    <t xml:space="preserve">           </t>
  </si>
  <si>
    <t>nilai</t>
  </si>
  <si>
    <t>TMBT</t>
  </si>
  <si>
    <t>RM</t>
  </si>
  <si>
    <t>IPK</t>
  </si>
  <si>
    <t>Nilai</t>
  </si>
  <si>
    <t>f</t>
  </si>
  <si>
    <t>SL</t>
  </si>
  <si>
    <t>Skor Akhir</t>
  </si>
  <si>
    <t>KD1</t>
  </si>
  <si>
    <t>KD2</t>
  </si>
  <si>
    <t>KD3</t>
  </si>
  <si>
    <t>KD4</t>
  </si>
  <si>
    <t>N2</t>
  </si>
  <si>
    <t>N3</t>
  </si>
  <si>
    <t>SD</t>
  </si>
  <si>
    <t>SP</t>
  </si>
  <si>
    <t>X1</t>
  </si>
  <si>
    <t>X2</t>
  </si>
  <si>
    <t>X3</t>
  </si>
  <si>
    <t>A</t>
  </si>
  <si>
    <t>D</t>
  </si>
  <si>
    <t>B</t>
  </si>
  <si>
    <t>SLRDT</t>
  </si>
  <si>
    <t>Na</t>
  </si>
  <si>
    <t>Nb</t>
  </si>
  <si>
    <t>Nc</t>
  </si>
  <si>
    <t>Nilai Kasar (NK)</t>
  </si>
  <si>
    <t>TMB</t>
  </si>
  <si>
    <t>N</t>
  </si>
  <si>
    <t>nilaiXbobot (tidak diprint)</t>
  </si>
  <si>
    <t>F 1</t>
  </si>
  <si>
    <t>NO URUT</t>
  </si>
  <si>
    <t>Nilai x Bobot</t>
  </si>
  <si>
    <t>Nilaixbobot (tidak diprint)</t>
  </si>
  <si>
    <t>F2</t>
  </si>
  <si>
    <t>F3</t>
  </si>
  <si>
    <t>no urut</t>
  </si>
  <si>
    <t>1.b</t>
  </si>
  <si>
    <t>1.a</t>
  </si>
  <si>
    <t>2.a</t>
  </si>
  <si>
    <t>2.b</t>
  </si>
  <si>
    <t>2.c</t>
  </si>
  <si>
    <t>2.d</t>
  </si>
  <si>
    <t>3.a</t>
  </si>
  <si>
    <t>3.b</t>
  </si>
  <si>
    <t>3.c</t>
  </si>
  <si>
    <t>4.a</t>
  </si>
  <si>
    <t>4.b</t>
  </si>
  <si>
    <t>Jmlh</t>
  </si>
  <si>
    <t>F1</t>
  </si>
  <si>
    <t>Nxbobot</t>
  </si>
  <si>
    <t>bobot-2</t>
  </si>
  <si>
    <t>Nxbobot2</t>
  </si>
  <si>
    <t>Hasil Akreditasi</t>
  </si>
  <si>
    <t>Nomer</t>
  </si>
  <si>
    <t>No  urut</t>
  </si>
  <si>
    <t>F 6</t>
  </si>
  <si>
    <t>F 8</t>
  </si>
  <si>
    <t>F 7</t>
  </si>
  <si>
    <t>Jumlah Nilai Akhir</t>
  </si>
  <si>
    <t>NilaiXbobot (tdk di print)</t>
  </si>
  <si>
    <t>Nilai x bobot (tidak di print)</t>
  </si>
  <si>
    <t>PTGS</t>
  </si>
  <si>
    <t>Nilai Desk (Untuk Pertimbangan)</t>
  </si>
  <si>
    <t>Nilai  Desk</t>
  </si>
  <si>
    <t>Nilai Desk</t>
  </si>
  <si>
    <t>Tanda Tangan</t>
  </si>
  <si>
    <t>Pimpinan Fakultas atau yang ditugaskan</t>
  </si>
  <si>
    <t>PILIH PRODI : EKSAKTA ATAU SOSIAL. ISI HANYA DIKOLOM YG TEPAT</t>
  </si>
  <si>
    <t>Jumlah Dosen Tetap</t>
  </si>
  <si>
    <t>Jumlah dosen bergelar S3</t>
  </si>
  <si>
    <t>X4</t>
  </si>
  <si>
    <t>MK pilihan yang disediakan</t>
  </si>
  <si>
    <t xml:space="preserve"> </t>
  </si>
  <si>
    <t>Standar 1. Visi, Misi, Tujuan dan Sasaran, serta Strategi Pencapaian</t>
  </si>
  <si>
    <t>Standar 2. Tata Pamong, Kepemimpinan, Sistem Pengelolaan,  dan Penjaminan Mutu</t>
  </si>
  <si>
    <t>Standar 3. Mahasiswa dan Lulusan</t>
  </si>
  <si>
    <t>Standar 6.  Pembiayaan, Sarana dan Prasarana, serta Sistem Informasi</t>
  </si>
  <si>
    <t>Standar 7. Penelitian, Pelayanan/Pengabdian Kepada Masyarakat, dan Kerjasama</t>
  </si>
  <si>
    <t>5.4.1.a</t>
  </si>
  <si>
    <t>5.4.1.b</t>
  </si>
  <si>
    <t>5.4.1.c</t>
  </si>
  <si>
    <t>5.4.2</t>
  </si>
  <si>
    <t>Rasio = (jumlah kolom 3)/(jumlah kolom 2)</t>
  </si>
  <si>
    <t>Rasio=(jumlah kolom 5)/jumlah kolom 4)</t>
  </si>
  <si>
    <t>RM = TMBT/TMB</t>
  </si>
  <si>
    <t>Jumlah Dosen bergelar S2 dan S3</t>
  </si>
  <si>
    <t>Kolom isian yg tidak ada datanya harus diisi angka nol</t>
  </si>
  <si>
    <t>Kehadiran direncanakan</t>
  </si>
  <si>
    <t>Kehadiran dilaksanakan</t>
  </si>
  <si>
    <t>Rasio</t>
  </si>
  <si>
    <t>Jml dosen tidak tetap</t>
  </si>
  <si>
    <t>Jumlah kehadiran sebagai penyaji</t>
  </si>
  <si>
    <t>Jumlah kehadiran sebagai peserta</t>
  </si>
  <si>
    <t>Jumlah dosen tetap</t>
  </si>
  <si>
    <t>SP = (a+b/4)/N</t>
  </si>
  <si>
    <t>Jumlah pustakawan S2 atau S3</t>
  </si>
  <si>
    <t>Jumlah pustakawan D4 atau S1</t>
  </si>
  <si>
    <t>Jumlah pustakawan D1, D2, atau D3</t>
  </si>
  <si>
    <t>A=(4 X1 + 3 X2 + 2 X3)/4</t>
  </si>
  <si>
    <t>Jumlah tenaga admin D4 atau S1</t>
  </si>
  <si>
    <t>Jumlah tenaga admin D3</t>
  </si>
  <si>
    <t>Jumlah tenaga admin D1 dan D2</t>
  </si>
  <si>
    <t>Jumlah tenaga admin SMU/SMK</t>
  </si>
  <si>
    <t>Persentase MK dengan tugas &gt;=20%</t>
  </si>
  <si>
    <t>Jumlah MK pada kolom 7 yg ada tanda V</t>
  </si>
  <si>
    <t>Jumlah MK wajib +  pilihan</t>
  </si>
  <si>
    <t>Jumlah seluruh MK</t>
  </si>
  <si>
    <t>Bobot MK pilihan yang harus diambil</t>
  </si>
  <si>
    <t>Jumlah skor untuk tiga aspek (Rentang 3 - 12)</t>
  </si>
  <si>
    <t>Rasio mahasiswa/dosen</t>
  </si>
  <si>
    <t>Banyaknya dosen PA</t>
  </si>
  <si>
    <t>Banyaknya mahasiswa bimbingan PA</t>
  </si>
  <si>
    <t>Jumlah dosen pembimbing tugas akhir</t>
  </si>
  <si>
    <t>Jumlah mahasiswa tugas akhir</t>
  </si>
  <si>
    <t>Rata-rata jumlah pertemuan/pembimbingan TA</t>
  </si>
  <si>
    <t>Untuk PS dengan waktu penyelesaian TA selama 1 semester</t>
  </si>
  <si>
    <t>Rata-rata waktu penyelesaian TA</t>
  </si>
  <si>
    <t>Nilai TA terjadwal 1 semester</t>
  </si>
  <si>
    <t>Untuk PS dengan waktu penyelesaian TA selama 2 semester</t>
  </si>
  <si>
    <t>Nilai TA terjadwal 2 semester</t>
  </si>
  <si>
    <t>Kolom isian yang tidak ada datanya, harus diisi dengan nol.</t>
  </si>
  <si>
    <t>SEL YANG HARUS DIISI HANYA SEL YANG BERWARNA KUNING</t>
  </si>
  <si>
    <t>Rata-rata dana pendidikan per tahun</t>
  </si>
  <si>
    <t>Rata-rata dana penelitian per tahun</t>
  </si>
  <si>
    <t>Rata-rata dana PkM per tahun</t>
  </si>
  <si>
    <t>Jumlah mahasiswa pada TS (Tabel 3.1.1)</t>
  </si>
  <si>
    <t>Total dana tridarma per tahun</t>
  </si>
  <si>
    <t>Dom</t>
  </si>
  <si>
    <t>Total dana penelitian dalam tiga tahun terakhir</t>
  </si>
  <si>
    <t>Jumlah dosen tetap dengan keahlian sesuai PS</t>
  </si>
  <si>
    <t>Rata-rata dana penelitian per dosen per tahun</t>
  </si>
  <si>
    <t>Total dana PkM dalam tiga tahun terakhir</t>
  </si>
  <si>
    <t>Jumlah dosen tetap PS</t>
  </si>
  <si>
    <t>Rata-rata dana PkM per dosen per tahun</t>
  </si>
  <si>
    <t>A=a+2b+3c+4d</t>
  </si>
  <si>
    <t>B=a+b+c+d</t>
  </si>
  <si>
    <t>A/B</t>
  </si>
  <si>
    <t>Luas semua ruang untuk &gt; 4 dosen</t>
  </si>
  <si>
    <t>Luas semua ruang untuk 3 - 4 dosen</t>
  </si>
  <si>
    <t>Luas semua ruang untuk 2 dosen</t>
  </si>
  <si>
    <t>Luas semua ruang untuk 1 dosen</t>
  </si>
  <si>
    <t>Bahan pustaka berupa buku teks</t>
  </si>
  <si>
    <t>Skor</t>
  </si>
  <si>
    <t>Bahan pustaka: disertasi/tesis/skripsi/TA</t>
  </si>
  <si>
    <t>6.4.1.e</t>
  </si>
  <si>
    <t>Banyak prosiding seminar</t>
  </si>
  <si>
    <t>Banyak tanda √ pada kolom (4)--&gt; Kisaran 0-11</t>
  </si>
  <si>
    <t>Banyak tanda √ pada kolom (6)--&gt; Kisaran 0-11</t>
  </si>
  <si>
    <t>Jumlah penelitian dengan biaya LN</t>
  </si>
  <si>
    <t>Jumlah penelitian dengan biaya luar (PT)</t>
  </si>
  <si>
    <t>Jumlah penelitian dengan biaya PT/sendiri</t>
  </si>
  <si>
    <t>Jumlah dosen tetap dengan bidang sesuai PS</t>
  </si>
  <si>
    <t>Jumlah mahasiswa TA yang terlibat penelitian dosen</t>
  </si>
  <si>
    <t>Jumlah mahasiswa yang melakukan tugas akhir (TA)</t>
  </si>
  <si>
    <t>PD</t>
  </si>
  <si>
    <t>Persentase mahasiswa yang terlibat</t>
  </si>
  <si>
    <t>NO. ITEM</t>
  </si>
  <si>
    <t>Jumlah kegiatan PkM dengan biaya LN</t>
  </si>
  <si>
    <t>Jumlah kegiatan PkM dengan biaya luar (PT)</t>
  </si>
  <si>
    <t>Jumlah kegiatan PkM dengan biaya PT/sendiri</t>
  </si>
  <si>
    <t>RM=TMBT/TMB</t>
  </si>
  <si>
    <t>Total mahasiswa baru transfer</t>
  </si>
  <si>
    <t>Total mahasiswa baru bukan transfer</t>
  </si>
  <si>
    <t>NSPS (Kisaran nilai 1 - 4)</t>
  </si>
  <si>
    <t>NSDT (Kisaran nilai 2 - 4)</t>
  </si>
  <si>
    <t>Persentase dosen berpendidikan S2 atau S3 (dalam %)</t>
  </si>
  <si>
    <t>Persentase dosen berpendidikan S3 (dalam %)</t>
  </si>
  <si>
    <t>Jumlah dosen tugas belajar S2/Sp-1</t>
  </si>
  <si>
    <t>Jumlah dosen tugas belajar S3/Sp-2</t>
  </si>
  <si>
    <t>Banyaknya program studi</t>
  </si>
  <si>
    <t>SD=(0.75 N2 + 1.25 N3)/N</t>
  </si>
  <si>
    <t>SD=(0.75 N2 + 1.25 N3)</t>
  </si>
  <si>
    <t>5.3</t>
  </si>
  <si>
    <t>NBDF (Kisaran 1 -4)</t>
  </si>
  <si>
    <t>NDOP</t>
  </si>
  <si>
    <t xml:space="preserve">Jumlah dana operasional per mhs per tahun </t>
  </si>
  <si>
    <t>NDPD</t>
  </si>
  <si>
    <t>Rata-rata dana penelitian per dosen tetap per tahun</t>
  </si>
  <si>
    <t>NDPKM</t>
  </si>
  <si>
    <t>Banyak tanda √ pada kolom (3)--&gt; Kisaran 0-12</t>
  </si>
  <si>
    <t>Banyak tanda √ pada kolom (5)--&gt; Kisaran 0-12</t>
  </si>
  <si>
    <t>na</t>
  </si>
  <si>
    <t>nb</t>
  </si>
  <si>
    <t>nc</t>
  </si>
  <si>
    <t>RP</t>
  </si>
  <si>
    <t>Jumlah penelitian pada TS-2</t>
  </si>
  <si>
    <t>Jumlah penelitian pada TS-1</t>
  </si>
  <si>
    <t>Jumlah penelitian pada TS</t>
  </si>
  <si>
    <t>Banyaknya dosen tetap</t>
  </si>
  <si>
    <t>Besar dana penelitian pada TS-2</t>
  </si>
  <si>
    <t>Besar dana penelitian pada TS-1</t>
  </si>
  <si>
    <t>Besar dana penelitian pada TS</t>
  </si>
  <si>
    <t>nd</t>
  </si>
  <si>
    <t>ne</t>
  </si>
  <si>
    <t>nf</t>
  </si>
  <si>
    <t>RDP</t>
  </si>
  <si>
    <t>Jumlah kegiatan PkM pada TS-2</t>
  </si>
  <si>
    <t>Jumlah kegiatan PkM pada TS-1</t>
  </si>
  <si>
    <t>Jumlah kegiatan PkM pada TS</t>
  </si>
  <si>
    <t>Besar dana PkM pada TS-2</t>
  </si>
  <si>
    <t>Besar dana PkM pada TS-1</t>
  </si>
  <si>
    <t>Besar dana PkM pada TS</t>
  </si>
  <si>
    <t>Hasil asesmen kecukupan</t>
  </si>
  <si>
    <t>Rekap Asesmen Kecukupan</t>
  </si>
  <si>
    <t>Rekap Asesmen Lapangan</t>
  </si>
  <si>
    <t>HASIL  ASESMEN KECUKUPAN</t>
  </si>
  <si>
    <t>HASIL ASESMEN LAPANGAN</t>
  </si>
  <si>
    <t>Jumlah kolom 3 (Jumlah yang ikut seleksi))</t>
  </si>
  <si>
    <t>Jumlah kolom 2 (Daya tampung PS)</t>
  </si>
  <si>
    <t>Jumlah kolom 4 (Jumlah calon mhs yang lulus seleksi)</t>
  </si>
  <si>
    <t>MDO (Persentase mahasiswa DO/Mengundurkan diri)</t>
  </si>
  <si>
    <t>Skor Akhir (a + b + c + d paling tinggi = 7)</t>
  </si>
  <si>
    <t>RMT (Rata-rata masa tunggu lulusan untuk bekerja)</t>
  </si>
  <si>
    <t>Banyaknya dosen tetap dengan bidang sesuai PS</t>
  </si>
  <si>
    <t>FORMAT 1. PENILAIAN BORANG PROGRAM STUDI</t>
  </si>
  <si>
    <t>NO. URUT</t>
  </si>
  <si>
    <t>1.2</t>
  </si>
  <si>
    <t>2.1</t>
  </si>
  <si>
    <t>2.2</t>
  </si>
  <si>
    <t>Karakteristik kepemimpinan: operasional, organisasi, dan publik.</t>
  </si>
  <si>
    <t>Efektivitas sosialisasi visi, misi PS: tingkat pemahaman sivitas akademika.</t>
  </si>
  <si>
    <t>2.3</t>
  </si>
  <si>
    <t>2.4</t>
  </si>
  <si>
    <t>Pelaksanaan penjaminan mutu di PS.</t>
  </si>
  <si>
    <t>2.5</t>
  </si>
  <si>
    <t>2.6</t>
  </si>
  <si>
    <t>Penerimaan mahasiswa non reguler.</t>
  </si>
  <si>
    <t>4.1</t>
  </si>
  <si>
    <t>Pelaksanaan monitoring dan evaluasi kinerja dosen di bidang  tridarma.</t>
  </si>
  <si>
    <t>Kesesuaian keahlian (pend. terakhir) dosen dengan MK yang diajarkannya.</t>
  </si>
  <si>
    <t>Prestasi dalam mendapatkan penghargaan hibah dalam tiga tahun terakhir.</t>
  </si>
  <si>
    <t>Kualitas laboran, teknisi, operator, programer.</t>
  </si>
  <si>
    <t>Kelengkapan dan perumusan kompetensi dalam kurikulum.</t>
  </si>
  <si>
    <t>Kesesuaian matakuliah dan urutannya dengan standar kompetensi PS.</t>
  </si>
  <si>
    <t>Efektivitas kegiatan perwalian/pembimbingan akademik.</t>
  </si>
  <si>
    <t>Ketersediaan panduan tugas akhir, sosialisasi,  dan penggunaan.</t>
  </si>
  <si>
    <t>5.6</t>
  </si>
  <si>
    <t>6.1</t>
  </si>
  <si>
    <t>Prasarana (kecuali  ruang dosen) dalam proses pembelajaran.</t>
  </si>
  <si>
    <t>Bahan pustaka berupa jurnal ilmiah terakreditasi Dikti.</t>
  </si>
  <si>
    <t xml:space="preserve">Bahan pustaka  berupa jurnal ilmiah internasional. </t>
  </si>
  <si>
    <t>Nilai untuk akses ke perpustakaan lainnya (termasuk on-line)</t>
  </si>
  <si>
    <t xml:space="preserve">Ketersediaan, akses dan pendayagunaan sarana utama di laboratorium. </t>
  </si>
  <si>
    <r>
      <t>Sistem informasi</t>
    </r>
    <r>
      <rPr>
        <sz val="10"/>
        <color indexed="8"/>
        <rFont val="Arial"/>
        <family val="2"/>
      </rPr>
      <t xml:space="preserve"> dan fasilitas yang digunakan PS</t>
    </r>
    <r>
      <rPr>
        <sz val="10"/>
        <color indexed="8"/>
        <rFont val="Arial"/>
        <family val="2"/>
      </rPr>
      <t xml:space="preserve"> dalam PBM.</t>
    </r>
  </si>
  <si>
    <t>Keterlibatan mahasiswa dalam kegiatan PkM.</t>
  </si>
  <si>
    <t>Kegiatan kerjasama dengan instansi di DN dalam tiga tahun terakhir.</t>
  </si>
  <si>
    <t>Kegiatan kerjasama dengan instansi di LN dalam tiga tahun terakhir.</t>
  </si>
  <si>
    <t>HANYA SEL YANG BERWARNA KUNING</t>
  </si>
  <si>
    <t>SEL YANG HARUS DIISI</t>
  </si>
  <si>
    <t>KETERANGAN</t>
  </si>
  <si>
    <t>NILAI</t>
  </si>
  <si>
    <t>Banyak tanda √ pada kolom (2)--&gt; Kisaran 0-12</t>
  </si>
  <si>
    <t>Banyak tanda √ pada kolom (4)--&gt; Kisaran 0-12</t>
  </si>
  <si>
    <t>Efisiensi dalam struktur organisasi.</t>
  </si>
  <si>
    <t>4.2</t>
  </si>
  <si>
    <t>5.1</t>
  </si>
  <si>
    <t>5.2</t>
  </si>
  <si>
    <t>Upaya pengembangan dana oleh Fakultas/Sekolah Tinggi.</t>
  </si>
  <si>
    <t>Rencana pengembangan prasarana oleh Fakultas untuk PS.</t>
  </si>
  <si>
    <t>Upaya pengembangan kegiatan penelitian oleh pihak Fakultas.</t>
  </si>
  <si>
    <t>Upaya pengembangan kegiatan PkM.</t>
  </si>
  <si>
    <t>Jumlah dosen tetap berpendidikan &lt;= S1</t>
  </si>
  <si>
    <t>Jumlah dosen tetap berpendidikan S2</t>
  </si>
  <si>
    <t>Jumlah dosen tetap berpendidikan S3</t>
  </si>
  <si>
    <t>Jumlah total dosen tetap</t>
  </si>
  <si>
    <t>Kejelasan dan kerealistikan visi, misi, tujuan, dan sasaran program studi.</t>
  </si>
  <si>
    <t>Memiliki visi, misi, tujuan, dan sasaran yang kurang jelas dan tidak realistik.</t>
  </si>
  <si>
    <t>Memiliki visi, misi, tujuan, dan sasaran yang cukup jelas namun kurang realistik.</t>
  </si>
  <si>
    <t>Memiliki visi, misi, tujuan, dan sasaran jelas dan  realistik.</t>
  </si>
  <si>
    <t>Memiliki visi, misi, tujuan, dan sasaran yang sangat jelas dan sangat realistik.</t>
  </si>
  <si>
    <t>INFORMASI DARI BORANG PROGRAM STUDI</t>
  </si>
  <si>
    <t>Strategi pencapaian sasaran: (1) tanpa adanya tahapan waktu yang jelas, (2) didukung dokumen yang kurang lengkap.</t>
  </si>
  <si>
    <t>Strategi pencapaian sasaran: (1) dengan tahapan waktu yang jelas, dan cukup realistik, (2) didukung dokumen yang cukup lengkap.</t>
  </si>
  <si>
    <t>Strategi pencapaian sasaran: (1) dengan tahapan waktu yang jelas, dan realistik, (2) didukung dokumen yang  lengkap.</t>
  </si>
  <si>
    <t xml:space="preserve">Strategi pencapaian sasaran:(1) dengan tahapan waktu yang jelas dan sangat realistik, (2) didukung dokumen yang sangat lengkap. </t>
  </si>
  <si>
    <t>Tidak dipahami oleh seluruh sivitas akademika dan tenaga kependidikan.</t>
  </si>
  <si>
    <t>Kurang dipahami oleh  sivitas akademika  dan tenaga kependidikan.</t>
  </si>
  <si>
    <t>Dipahami dengan baik oleh sebagian  sivitas akademika dan tenaga kependidikan.</t>
  </si>
  <si>
    <t xml:space="preserve">Dipahami dengan baik oleh seluruh sivitas akademika  dan tenaga kependidikan. </t>
  </si>
  <si>
    <t>Program studi memiliki  tatapamong yang memungkinkan terlaksananya secara cukup konsisten prinsip tatapamong, dan menjamin penyelenggaraan program studi yang memenuhi  3 dari 5 aspek berikut: kredibel, transparan, akuntabel, bertanggung jawab, dan adil.</t>
  </si>
  <si>
    <t>Program studi memiliki  tatapamong yang memungkinkan terlaksananya secara konsisten prinsip tatapamong, dan menjamin penyelenggaraan program studi yang memenuhi 4 dari 5 aspek berikut: kredibel, transparan, akuntabel, bertanggung jawab, dan adil.</t>
  </si>
  <si>
    <t>Program studi memiliki  tatapamong yang memungkinkan terlaksananya secara konsisten prinsip tatapamong, dan menjamin penyelenggaraan program studi yang memenuhi 5 aspek berikut:kredibel, transparan, akuntabel, bertanggung jawab, dan adil.</t>
  </si>
  <si>
    <t>Program studi memiliki  tatapamong, namun hanya memenuhi 1 s.d. 2 dari 5 aspek berikut: kredibel, transparan,akuntabel,bertanggung jawab,adil.</t>
  </si>
  <si>
    <t xml:space="preserve">Kepemimpinan program studi lemah dalam karakteristik berikut: (1) kepemim-pinan operasional, (2) kepemim-pinan organisasi, (3) kepemim-pinan publik. </t>
  </si>
  <si>
    <t xml:space="preserve">Kepemimpinan program studi memiliki karakter kepemimpinan yang kuat dalam salah satu dari karakteristik berikut: (1) kepemimpinan operasional, (2) kepemimpinan organisasi, (3) kepemimpinan publik. </t>
  </si>
  <si>
    <t xml:space="preserve">Kepemimpinan program studi memiliki karakter kepemimpinan yang kuat dalam dua dari karakteristik berikut: (1) kepemimpinan operasional, (2) kepemimpinan organisasi, (3) kepemimpinan publik. </t>
  </si>
  <si>
    <t xml:space="preserve">Kepemimpinan program studi memiliki karakteristik yang kuat dalam: (1) kepemimpinan operasional, (2) kepemimpinan organisasi, (3) kepemimpinan publik. </t>
  </si>
  <si>
    <t>Sistem pengelolaan fungsional dan operasional program studi mencakup: planning, organizing, staffing, leading, controlling yang efektif dilaksanakan.</t>
  </si>
  <si>
    <t>Tidak ada sistem pengelolaan.</t>
  </si>
  <si>
    <t>Sistem pengelolaan fungsional dan operasional program studi dilakukan tidak sesuai dengan SOP.</t>
  </si>
  <si>
    <t>Sistem pengelolaan fungsional dan operasional program studi dilakukan hanya sebagian sesuai dengan SOP dan dokumen kurang lengkap.</t>
  </si>
  <si>
    <t>Sistem pengelolaan fungsional dan operasional program studi dilakukan dengan cukup baik, sesuai dengan SOP, namun dokumen kurang lengkap.</t>
  </si>
  <si>
    <t>Sistem pengelolaan fungsional dan operasional program studi berjalan sesuai dengan SOP, yang didukung dokumen yang lengkap.</t>
  </si>
  <si>
    <t>Tidak ada sistem penjaminan mutu.</t>
  </si>
  <si>
    <t>Ada sistem penjaminan mutu, tetapi tidak berfungsi.</t>
  </si>
  <si>
    <t>Sistem penjaminan mutu berfungsi sebagian namun  tidak ada umpan balik dan dokumen kurang lengkap.</t>
  </si>
  <si>
    <t>Sistem penjaminan mutu berjalan sesuai dengan standar penjaminan mutu, umpan balik tersedia tetapi tidak ada tindak lanjut.</t>
  </si>
  <si>
    <t>Sistem penjaminan mutu berjalan sesuai dengan standar penjaminan mutu, ada  umpan balik dan tindak lanjutnya, yang didukung dokumen yang lengkap.</t>
  </si>
  <si>
    <t>Penjaringan umpan balik dan tindak lanjutnya. Sumber umpan balik antara lain dari: (1) dosen, (2) mahasiswa, (3) alumni, (4) pengguna lulusan.</t>
  </si>
  <si>
    <t>Tidak ada umpan balik.</t>
  </si>
  <si>
    <t>Umpan balik hanya diperoleh dari sebagian dan tidak ada tindak lanjut.</t>
  </si>
  <si>
    <t>Umpan balik hanya diperoleh dari sebagian dan ada tindak lanjut secara insidental.</t>
  </si>
  <si>
    <t>Umpan balik diperoleh dari dosen, mahasiswa, alumni dan pengguna serta ditindaklanjuti secara insidental.</t>
  </si>
  <si>
    <t>Umpan balik diperoleh dari dosen, mahasiswa, alumni dan pengguna serta ditindaklanjuti secara berkelanjutan.</t>
  </si>
  <si>
    <t>Upaya untuk menjamin keberlanjutan PS, mencakup: (a) Upaya untuk peningkatan animo calon mahasiswa, (b) Upaya peningkatan mutu manajemen, (c) Upaya untuk peningkatan mutu lulusan, (d) Upaya untuk pelaksanaan dan hasil kerjasama kemitraan, (e) Upaya dan prestasi dalam memperoleh dana hibah kompetitif.</t>
  </si>
  <si>
    <t>Tidak ada usaha.</t>
  </si>
  <si>
    <t>Ada bukti hanya 1 usaha yang dilakukan.</t>
  </si>
  <si>
    <t>Ada bukti hanya sebagian kecil usaha (2-3) yang dilakukan.</t>
  </si>
  <si>
    <t>Ada bukti sebagian usaha ( &gt; 3) dilakukan .</t>
  </si>
  <si>
    <t xml:space="preserve">Ada bukti semua usaha dilakukan berikut hasilnya. </t>
  </si>
  <si>
    <t xml:space="preserve">Rasio calon mahasiswa yang ikut seleksi : daya tampung </t>
  </si>
  <si>
    <t>Rasio mahasiswa baru reguler yang melakukan registrasi : calon mahasiswa baru reguler yang lulus seleksi</t>
  </si>
  <si>
    <t>Jumlah kolom 5 (Jumlah mhs baru reguler yang melakukan registrasi)</t>
  </si>
  <si>
    <r>
      <t>T</t>
    </r>
    <r>
      <rPr>
        <vertAlign val="subscript"/>
        <sz val="10"/>
        <color indexed="8"/>
        <rFont val="Arial"/>
        <family val="2"/>
      </rPr>
      <t>MBT</t>
    </r>
    <r>
      <rPr>
        <sz val="10"/>
        <color indexed="8"/>
        <rFont val="Arial"/>
        <family val="2"/>
      </rPr>
      <t xml:space="preserve"> = total mahasiswa baru transfer untuk program S1 reguler dan S1 non-reguler</t>
    </r>
  </si>
  <si>
    <r>
      <t>T</t>
    </r>
    <r>
      <rPr>
        <vertAlign val="subscript"/>
        <sz val="10"/>
        <color indexed="8"/>
        <rFont val="Arial"/>
        <family val="2"/>
      </rPr>
      <t>MB</t>
    </r>
    <r>
      <rPr>
        <sz val="10"/>
        <color indexed="8"/>
        <rFont val="Arial"/>
        <family val="2"/>
      </rPr>
      <t xml:space="preserve"> = total mahasiswa baru bukan transfer untuk program S1 reguler dan S1 non-reguler</t>
    </r>
  </si>
  <si>
    <t>Jumlah mahasiswa yang diterima mengakibatkan beban dosen sangat berat, melebihi 19 sks.</t>
  </si>
  <si>
    <t>Jumlah mahasiswa yang diterima mengakibatkan beban dosen relatif berat, yaitu lebih dari 17 s.d. 19 sks.</t>
  </si>
  <si>
    <t>Jumlah mahasiswa yang diterima masih memungkinkan dosen mengajar seluruh mahasiswa dengan total beban lebih dari 15  s.d. 17 sks.</t>
  </si>
  <si>
    <t>Jumlah mahasiswa yang diterima masih memungkinkan dosen mengajar seluruh mahasiswa dengan total beban lebih dari 13  s.d. 15 sks.</t>
  </si>
  <si>
    <t xml:space="preserve">Jumlah mahasiswa yang diterima masih memungkinkan dosen mengajar seluruh mahasiswa dengan total beban mendekati ideal, yaitu kurang atau sama dengan 13 sks. </t>
  </si>
  <si>
    <t xml:space="preserve">Tidak ada bukti penghargaan. </t>
  </si>
  <si>
    <t>Ada bukti penghargaan juara lomba ilmiah, olah raga, maupun seni tingkat lokal PT.</t>
  </si>
  <si>
    <t>Ada bukti penghargaan juara lomba ilmiah, olah raga, maupun seni tingkat wilayah.</t>
  </si>
  <si>
    <t>Ada bukti penghargaan juara lomba ilmiah, olah raga, maupun seni tingkat nasional atau internasional.</t>
  </si>
  <si>
    <r>
      <t>Persentase kelulusan tepat waktu (K</t>
    </r>
    <r>
      <rPr>
        <vertAlign val="subscript"/>
        <sz val="10"/>
        <color indexed="8"/>
        <rFont val="Arial"/>
        <family val="2"/>
      </rPr>
      <t>TW</t>
    </r>
    <r>
      <rPr>
        <sz val="10"/>
        <color indexed="8"/>
        <rFont val="Arial"/>
        <family val="2"/>
      </rPr>
      <t>)</t>
    </r>
  </si>
  <si>
    <t>Jumlah mahasiswa yang diterima pada TS-3 yang telah lulus.</t>
  </si>
  <si>
    <t>Jumlah mahasiswa yang diterima pada TS-3 (4 tahun yang lalu)</t>
  </si>
  <si>
    <t>KTW (Kelulusan tepat waktu dalam persen, kisaran nilai 0 - 100.)</t>
  </si>
  <si>
    <t>Jumlah mahasiswa baru yang diterima pada TS-6 (7 tahun yang lalu)</t>
  </si>
  <si>
    <r>
      <t>Persentase mahasiswa yang DO atau mengundurkan diri (M</t>
    </r>
    <r>
      <rPr>
        <vertAlign val="subscript"/>
        <sz val="10"/>
        <color indexed="8"/>
        <rFont val="Arial"/>
        <family val="2"/>
      </rPr>
      <t>DO</t>
    </r>
    <r>
      <rPr>
        <sz val="10"/>
        <color indexed="8"/>
        <rFont val="Arial"/>
        <family val="2"/>
      </rPr>
      <t xml:space="preserve">).  </t>
    </r>
    <r>
      <rPr>
        <sz val="10"/>
        <color indexed="30"/>
        <rFont val="Arial"/>
        <family val="2"/>
      </rPr>
      <t>Catatan: Gunakan data mahasiswa yang diterima tahun awal, jika PS belum memiliki data pada TS-6.</t>
    </r>
  </si>
  <si>
    <t xml:space="preserve">Kurang dari 2 unit pelayanan. </t>
  </si>
  <si>
    <t xml:space="preserve">Ada 2 jenis unit pelayanan. </t>
  </si>
  <si>
    <t>Ada jenis layanan nomor 1 sampai dengan nomor 2.</t>
  </si>
  <si>
    <t>Ada jenis layanan nomor 1 sampai dengan nomor 3.</t>
  </si>
  <si>
    <t xml:space="preserve">Ada semua (5 jenis) pelayanan mahasiswa yang dapat diakses. </t>
  </si>
  <si>
    <t>Layanan kepada mahasiswa.  Jenis pelayanan kepada mahasiswa antara lain: (1) Bimbingan dan konseling, (2) Minat dan bakat (ekstra kurikuler), (3) Pembinaan soft skill, (4) Layanan beasiswa, dan (5) Layanan kesehatan.</t>
  </si>
  <si>
    <t>Kualitas layanan kepada mahasiswa. Untuk setiap jenis pelayanan pada butir 3.2.1, pemberian skor sebagai berikut: 4 : sangat baik, 3 : baik, 2: cukup, 1: kurang, 0: sangat kurang.  Kisaran nilai 0 - 20.</t>
  </si>
  <si>
    <t>Tidak ada upaya pelacakan lulusan.</t>
  </si>
  <si>
    <t xml:space="preserve">Upaya pelacakan dilakukan sekedarnya dan hasilnya terekam. </t>
  </si>
  <si>
    <t xml:space="preserve">Upaya pelacakan lulusan dilakukan sekedarnya dan hasilnya tidak terekam. </t>
  </si>
  <si>
    <t>Ada upaya yang intensif untuk melacak  lulusan, tetapi hasilnya belum  terekam secara komprehensif.</t>
  </si>
  <si>
    <t>Ada upaya yang intensif untuk melacak  lulusan dan datanya terekam secara komprehensif.</t>
  </si>
  <si>
    <t>Penggunaan hasil pelacakan untuk perbaikan: (1) proses pembelajaran, (2) penggalangan dana, (3) informasi pekerjaan, dan (4) membangun jejaring.</t>
  </si>
  <si>
    <t>Tidak ada tindak lanjut.</t>
  </si>
  <si>
    <t>Hasil pelacakan untuk perbaikan 1 item.</t>
  </si>
  <si>
    <t>Hasil pelacakan untuk perbaikan 2 item.</t>
  </si>
  <si>
    <t>Hasil pelacakan untuk perbaikan 3 item.</t>
  </si>
  <si>
    <t>Hasil pelacakan untuk perbaikan  4 item.</t>
  </si>
  <si>
    <t>Banyak tanda centang untuk respon sangat baik (Kisaran nilai 0 - 7)</t>
  </si>
  <si>
    <t>Banyak tanda centang untuk respon baik (Kisaran nilai 0 - 7)</t>
  </si>
  <si>
    <t>Banyak tanda centang untuk respon cukup (Kisaran nilai 0 - 7)</t>
  </si>
  <si>
    <t>Banyak tanda centang untuk respon kurang (Kisaran nilai 0 - 7)</t>
  </si>
  <si>
    <r>
      <t>Pendapat pengguna (</t>
    </r>
    <r>
      <rPr>
        <i/>
        <sz val="10"/>
        <color indexed="8"/>
        <rFont val="Arial"/>
        <family val="2"/>
      </rPr>
      <t>employer</t>
    </r>
    <r>
      <rPr>
        <sz val="10"/>
        <color indexed="8"/>
        <rFont val="Arial"/>
        <family val="2"/>
      </rPr>
      <t xml:space="preserve">) lulusan terhadap kualitas alumni. Setiap baris hanya diisi satu tanda centang.  Jika diisi lebih, gunakan </t>
    </r>
    <r>
      <rPr>
        <i/>
        <sz val="10"/>
        <color indexed="8"/>
        <rFont val="Arial"/>
        <family val="2"/>
      </rPr>
      <t xml:space="preserve">expert judgment </t>
    </r>
    <r>
      <rPr>
        <sz val="10"/>
        <color indexed="8"/>
        <rFont val="Arial"/>
        <family val="2"/>
      </rPr>
      <t>dengan memilihkan satu tanda centang saja.</t>
    </r>
  </si>
  <si>
    <t>bulan</t>
  </si>
  <si>
    <t>Persentase kesesuaian bidang kerja dengan bidang studi (keahlian) lulusan.  Kisaran nilai 0 - 1.</t>
  </si>
  <si>
    <t>Bentuk partisipasi lulusan dan alumni untuk kegiatan akademik: Sumbangan dana, Sumbangan fasilitas, Keterlibatan dalam kegiatan akademik, Pengembangan jejaring, Penyediaan fasilitas untuk kegiatan akademik.</t>
  </si>
  <si>
    <t>Tidak ada partisipasi alumni.</t>
  </si>
  <si>
    <t>Hanya 1 bentuk partisipasi saja yang dilakukan oleh alumni.</t>
  </si>
  <si>
    <t>Hanya 2 bentuk partisipasi yang dilakukan oleh alumni.</t>
  </si>
  <si>
    <t>3-4 bentuk partisipasi dilakukan oleh alumni.</t>
  </si>
  <si>
    <t>Semua bentuk partisipasi dilakukan oleh alumni.</t>
  </si>
  <si>
    <t xml:space="preserve">Bentuk partisipasi lulusan dan alumni untuk kegiatan non akademik: Sumbangan dana, Sumbangan fasilitas, Keterlibatan dalam kegiatan non akademik, Pengembangan jejaring, Penyediaan fasilitas untuk kegiatan non akademik. </t>
  </si>
  <si>
    <r>
      <t xml:space="preserve">Pedoman tertulis tentang </t>
    </r>
    <r>
      <rPr>
        <sz val="10"/>
        <color indexed="8"/>
        <rFont val="Arial"/>
        <family val="2"/>
      </rPr>
      <t xml:space="preserve">sistem seleksi, perekrutan, penempatan, pengembangan, retensi, dan pemberhentian dosen dan tenaga kependidikan </t>
    </r>
  </si>
  <si>
    <t>Tidak ada pedoman tertulis.</t>
  </si>
  <si>
    <r>
      <t xml:space="preserve">Ada pedoman tertulis, tidak </t>
    </r>
    <r>
      <rPr>
        <sz val="10"/>
        <color indexed="8"/>
        <rFont val="Arial"/>
        <family val="2"/>
      </rPr>
      <t>lengkap dan tidak dilaksanakan.</t>
    </r>
  </si>
  <si>
    <r>
      <t>Ada pedoman tertulis yang lengkap;</t>
    </r>
    <r>
      <rPr>
        <sz val="10"/>
        <color indexed="10"/>
        <rFont val="Arial"/>
        <family val="2"/>
      </rPr>
      <t xml:space="preserve"> </t>
    </r>
    <r>
      <rPr>
        <sz val="10"/>
        <color indexed="8"/>
        <rFont val="Arial"/>
        <family val="2"/>
      </rPr>
      <t>tetapi tidak dilaksanakan.</t>
    </r>
  </si>
  <si>
    <r>
      <t xml:space="preserve">Ada pedoman tertulis yang lengkap; </t>
    </r>
    <r>
      <rPr>
        <sz val="10"/>
        <color indexed="8"/>
        <rFont val="Arial"/>
        <family val="2"/>
      </rPr>
      <t>dan tidak ada bukti dilaksanakan secara konsisten.</t>
    </r>
  </si>
  <si>
    <r>
      <t>Ada pedoman tertulis yang lengkap</t>
    </r>
    <r>
      <rPr>
        <sz val="10"/>
        <color indexed="8"/>
        <rFont val="Arial"/>
        <family val="2"/>
      </rPr>
      <t>; dan ada bukti dilaksanakan secara konsisten.</t>
    </r>
  </si>
  <si>
    <r>
      <t xml:space="preserve">Pedoman tertulis tentang </t>
    </r>
    <r>
      <rPr>
        <sz val="10"/>
        <color indexed="8"/>
        <rFont val="Arial"/>
        <family val="2"/>
      </rPr>
      <t>sistem monitoring dan evaluasi, serta rekam jejak kinerja dosen dan tenaga kependidikan.</t>
    </r>
  </si>
  <si>
    <t>Tidak ada bukti tentang kinerja dosen yang terdokumentasikan.</t>
  </si>
  <si>
    <t xml:space="preserve">Ada bukti tentang kinerja dosen di bidang  pendidikan tetapi tidak terdokumentasikan dengan baik serta tidak ada di bidang penelitian  atau pelayanan/ pengabdian kepada masyarakat. </t>
  </si>
  <si>
    <r>
      <t>Ada bukti tentang kinerja dosen di bidang pendidikan yang terdokumentasikan dengan baik tetapi tidak</t>
    </r>
    <r>
      <rPr>
        <i/>
        <sz val="10"/>
        <color indexed="8"/>
        <rFont val="Arial"/>
        <family val="2"/>
      </rPr>
      <t xml:space="preserve"> ada</t>
    </r>
    <r>
      <rPr>
        <sz val="10"/>
        <color indexed="8"/>
        <rFont val="Arial"/>
        <family val="2"/>
      </rPr>
      <t xml:space="preserve"> di bidang penelitian  atau pelayanan/ pengabdian kepada masyarakat. </t>
    </r>
  </si>
  <si>
    <t>Ada bukti tentang kinerja dosen di bidang: (1) pendidikan, (2) penelitian, (3) pelayanan/ pengabdian kepada masyarakat tetapi tidak terdokumentasi dengan baik.</t>
  </si>
  <si>
    <t>Ada bukti tentang kinerja dosen di bidang: (1) pendidikan, (2) penelitian, (3) pelayanan/ pengabdian kepada masyarakat yang terdokumentasi dengan baik.</t>
  </si>
  <si>
    <t>Dosen tetap berpendidikan (terakhir) S2 dan S3 yang bidang keahliannya sesuai dengan kompetensi PS.</t>
  </si>
  <si>
    <t>Persentase dosen tetap berpendidikan (terakhir) S2 dan S3 yang bidang keahliannya sesuai dengan kompetensi PS</t>
  </si>
  <si>
    <t>Dosen tetap yang berpendidikan S3 yang bidang keahliannya sesuai dengan kompetensi PS</t>
  </si>
  <si>
    <t>Dosen tetap yang memiliki jabatan Lektor Kepala dan Guru Besar yang bidang keahliannya sesuai dengan kompetensi PS</t>
  </si>
  <si>
    <t>Dosen yang memiliki Sertifikat Pendidik Profesional</t>
  </si>
  <si>
    <t>Dosen yang memiliki sertifikat pendidik profesional</t>
  </si>
  <si>
    <t>Persentase dosen yang memiliki Sertifikat Pendidik Profesional</t>
  </si>
  <si>
    <r>
      <t>Rata-rata beban dosen per semester, atau rata-rata FTE (</t>
    </r>
    <r>
      <rPr>
        <i/>
        <sz val="10"/>
        <color indexed="8"/>
        <rFont val="Arial"/>
        <family val="2"/>
      </rPr>
      <t>Fulltime Teaching Equivalent</t>
    </r>
    <r>
      <rPr>
        <sz val="10"/>
        <color indexed="8"/>
        <rFont val="Arial"/>
        <family val="2"/>
      </rPr>
      <t>)</t>
    </r>
  </si>
  <si>
    <t>Lebih dari 7 mata kuliah diajar oleh dosen yang tidak sesuai keahliannya.</t>
  </si>
  <si>
    <t>4 –7 mata kuliah diajar oleh dosen yang tidak sesuai keahliannya.</t>
  </si>
  <si>
    <t>1 – 3 mata kuliah diajar oleh dosen yang tidak sesuai keahliannya.</t>
  </si>
  <si>
    <t>Semua mata kuliah diajar oleh dosen yang sesuai keahliannya.</t>
  </si>
  <si>
    <t>Tingkat kehadiran dosen tetap dalam mengajar</t>
  </si>
  <si>
    <t>Persentase dosen tidak tetap terhadap seluruh dosen (Pdtt)</t>
  </si>
  <si>
    <t>Lebih dari 6 mata kuliah diajar oleh dosen tidak tetap yang tidak sesuai keahliannya.</t>
  </si>
  <si>
    <t>5-6 mata kuliah diajar oleh dosen tidak tetap yang tidak sesuai keahliannya.</t>
  </si>
  <si>
    <t>3-4 mata kuliah diajar oleh dosen tidak tetap yang tidak sesuai keahliannya.</t>
  </si>
  <si>
    <t>1 – 2 mata kuliah diajar oleh dosen tidak tetap yang tidak sesuai keahliannya.</t>
  </si>
  <si>
    <t>Semua dosen tidak tetap mengajar mata kuliah yang sesuai keahliannya.</t>
  </si>
  <si>
    <t>Banyak tanda √ pada kolom (3)--&gt; Kisaran 0-11</t>
  </si>
  <si>
    <t>Banyak tanda √ pada kolom (5)--&gt; Kisaran 0-11</t>
  </si>
  <si>
    <t>Catatan: Tiap baris hanya ada satu tanda √.</t>
  </si>
  <si>
    <t>Jumlah kehadiran yang direncanakan.</t>
  </si>
  <si>
    <t>Jumlah kehadiran yang dilaksanakan.</t>
  </si>
  <si>
    <t>Persentase kehadiran dosen tidak tetap dalam perkuliahan (terhadap jumlah kehadiran yang direncanakan). Kisaran nilai 0 - 1.</t>
  </si>
  <si>
    <t>Jumlah Tenaga Ahli/Pakar (sebagai pembicara dalam seminar/pelatihan, pembicara tamu, dsb, dari luar PT sendiri (tidak termasuk dosen tidak tetap).</t>
  </si>
  <si>
    <t>Persentase dosen berpendidikan S2 atau S3 (dalam %, kisaran nilai 0 - 1)</t>
  </si>
  <si>
    <t>Persentase dosen berpendidikan S3 (dalam %, kisaran nilai 0 - 1)</t>
  </si>
  <si>
    <t>Tidak pernah mendapat penghargaan.</t>
  </si>
  <si>
    <t>Mendapatkan penghargaan, hibah, pendanaan program dan kegiatan akademik yang berupa hibah dana  dari PT sendiri (disertai bukti).</t>
  </si>
  <si>
    <t>Mendapatkan penghargaan hibah, pendanaan program dan kegiatan akademik dari institusi regional/lokal (disertai bukti).</t>
  </si>
  <si>
    <t>Mendapatkan penghargaan hibah, pendanaan program dan kegiatan akademik dari institusi nasional (disertai bukti).</t>
  </si>
  <si>
    <t>Mendapatkan penghargaan hibah, pendanaan program dan kegiatan akademik dari institusi internasional (disertai bukti).</t>
  </si>
  <si>
    <t xml:space="preserve">Tidak ada dosen tetap yang menjadi anggota masyarakat bidang ilmu. </t>
  </si>
  <si>
    <t>Ada tapi kurang dari 15%  dosen tetap yang menjadi anggota masyarakat bidang ilmu tingkat internasional atau nasional.</t>
  </si>
  <si>
    <t xml:space="preserve">Antara 15% s.d. 30% dosen tetap yang menjadi anggota masyarakat bidang ilmu tingkat internasional atau nasional. </t>
  </si>
  <si>
    <t>Lebih dari 30% dosen tetap  menjadi anggota masyarakat bidang ilmu tingkat internasional atau nasional.</t>
  </si>
  <si>
    <t xml:space="preserve">Lebih dari 30%  dosen tetap menjadi anggota masyarakat bidang ilmu tingkat internasional. </t>
  </si>
  <si>
    <t>Pustakawan dan kualifikasinya</t>
  </si>
  <si>
    <t>Cukup dalam jumlah dan kualifikasi tetapi mutu kerjanya sedang-sedang saja.</t>
  </si>
  <si>
    <t>Kurang dalam jumlah atau terlalu banyak sehingga kurang kegiatannya.</t>
  </si>
  <si>
    <t>Jumlah cukup dan memadai kegiatannya.</t>
  </si>
  <si>
    <t>Jumlah cukup dan sangat baik kegiatannya.</t>
  </si>
  <si>
    <t>Tenaga administrasi, jumlah dan kualifikasinya.</t>
  </si>
  <si>
    <t>Tidak ada upaya pengembangan, padahal kualifikasi dan kompetensi  tenaga kependidikan relatif masih kurang.</t>
  </si>
  <si>
    <t>Upaya pengembangan telah dilakukan dengan  cukup sehingga dapat meningkatkan kualifikasi dan kompetensi tenaga kependidikan.</t>
  </si>
  <si>
    <t xml:space="preserve">Upaya pengembangan telah dilakukan dengan  baik sehingga dapat meningkatkan kualifikasi dan kompetensi tenaga kependidikan. </t>
  </si>
  <si>
    <t xml:space="preserve">Upaya pengembangan telah dilakukan dengan sangat baik sehingga dapat meningkatkan kualifikasi dan kompetensi tenaga kependidikan. </t>
  </si>
  <si>
    <t>Kurikulum tidak memuat kompetensi lulusan secara lengkap.</t>
  </si>
  <si>
    <t>Kurikulum memuat kompetensi lulusan secara lengkap (utama, pendukung, lainnya), namun rumusannya kurang jelas.</t>
  </si>
  <si>
    <t>Kurikulum memuat kompetensi lulusan secara lengkap (utama, pendukung, lainnya) yang terumuskan secara cukup jelas.</t>
  </si>
  <si>
    <t>Kurikulum memuat kompetensi lulusan secara lengkap (utama, pendukung, lainnya) yang terumuskan secara jelas.</t>
  </si>
  <si>
    <t>Kurikulum memuat kompetensi lulusan secara lengkap (utama, pendukung, lainnya) yang terumuskan secara sangat jelas.</t>
  </si>
  <si>
    <t>Tidak sesuai dengan visi-misi serta tidak jelas orientasinya, atau tidak memuat memuat standar kompetensi.</t>
  </si>
  <si>
    <t>Tidak sesuai dengan visi-misi.</t>
  </si>
  <si>
    <t>Sesuai dengan visi-misi, tetapi masih berorientasi ke masa lalu.</t>
  </si>
  <si>
    <t>Sesuai dengan visi-misi, berorientasi ke masa kini.</t>
  </si>
  <si>
    <t>Sesuai dengan visi-misi, sudah berorientasi  ke masa depan.</t>
  </si>
  <si>
    <t>Tidak sesuai dengan standar kompetensi.</t>
  </si>
  <si>
    <t>Sesuai dengan standar kompetensi, tetapi masih berorientasi ke masa lalu.</t>
  </si>
  <si>
    <t>Sesuai dengan standar kompetensi, berorientasi ke masa kini.</t>
  </si>
  <si>
    <t>Sesuai dengan standar kompetensi, sudah berorientasi  ke masa depan.</t>
  </si>
  <si>
    <t>Tidak tidak memiliki standar kompetensi.</t>
  </si>
  <si>
    <t>Mata kuliah dilengkapi dengan deskripsi mata kuliah, silabus dan SAP.</t>
  </si>
  <si>
    <t>Jumlah MK dengan deskripsi, silabus, dan SAP</t>
  </si>
  <si>
    <t>Fleksibilitas mata kuliah pilihan</t>
  </si>
  <si>
    <t>Pelaksanaan modul praktikum kurang dari minimum.</t>
  </si>
  <si>
    <t>Pelaksanaan modul praktikum cukup, tetapi dilaksanakan di PT lain.</t>
  </si>
  <si>
    <t>Pelaksanaan modul praktikum cukup, dilaksanakan di PT sendiri.</t>
  </si>
  <si>
    <t>Pelaksanaan modul praktikum lebih dari cukup  (ditambah dengan demonstrasi di laboratorium ) di PT sendiri.</t>
  </si>
  <si>
    <t>Dalam 5 tahun terakhir, tidak pernah melakukan peninjauan ulang.</t>
  </si>
  <si>
    <t>Pengembangan mengikuti perubahan di perguruan tinggi lain tanpa penyesuaian.</t>
  </si>
  <si>
    <t>Pengembangan mengikuti perubahan di perguruan tinggi lain yang disesuaikan dengan visi, misi, dan umpan balik.</t>
  </si>
  <si>
    <r>
      <t xml:space="preserve">Pengembangan dilakukan bekerjasama dengan perguruan tinggi lain tetapi tidak melibatkan </t>
    </r>
    <r>
      <rPr>
        <sz val="10"/>
        <color indexed="8"/>
        <rFont val="Arial"/>
        <family val="2"/>
      </rPr>
      <t>pemangku kepentingan eksternal lainnya</t>
    </r>
    <r>
      <rPr>
        <sz val="10"/>
        <color indexed="8"/>
        <rFont val="Arial"/>
        <family val="2"/>
      </rPr>
      <t xml:space="preserve"> walaupun menyesuaikan dengan visi, misi, dan umpan balik.</t>
    </r>
  </si>
  <si>
    <r>
      <t xml:space="preserve">Pengembangan dilakukan secara mandiri dengan melibatkan </t>
    </r>
    <r>
      <rPr>
        <sz val="10"/>
        <color indexed="8"/>
        <rFont val="Arial"/>
        <family val="2"/>
      </rPr>
      <t>pemangku kepentingan</t>
    </r>
    <r>
      <rPr>
        <sz val="10"/>
        <color indexed="8"/>
        <rFont val="Arial"/>
        <family val="2"/>
      </rPr>
      <t xml:space="preserve"> internal dan eksternal dan memperhatikan visi, misi, dan umpan balik program studi.</t>
    </r>
  </si>
  <si>
    <t>(Tidak ada skor 1)</t>
  </si>
  <si>
    <t>Tidak ada pembaharuan kurikulum selama 5 tahun terakhir.</t>
  </si>
  <si>
    <t xml:space="preserve">Pembaharuan hanya menata ulang kurikulum yang sudah ada, tanpa disesuaikan dengan perkembangan. </t>
  </si>
  <si>
    <t>Pembaharuan kurikulum dilakukan sesuai dengan perkembangan ilmu di bidangnya, tetapi kurang memperhatikan kebutuhan pemangku kepentingan.</t>
  </si>
  <si>
    <t>Pembaharuan kurikulum dilakukan sesuai dengan perkembangan ilmu di bidangnya dan kebutuhan pemangku kepentingan.</t>
  </si>
  <si>
    <r>
      <t>Pelaksanaan pembelajaran memiliki m</t>
    </r>
    <r>
      <rPr>
        <sz val="10"/>
        <color indexed="8"/>
        <rFont val="Arial"/>
        <family val="2"/>
      </rPr>
      <t>ekanisme untuk memonitor, mengkaji, dan memperbaiki setiap semester tentang:(a) kehadiran mahasiswa, (b) kehadiran dosen, (c) materi kuliah.</t>
    </r>
  </si>
  <si>
    <t>Tidak ada mekanisme monitoring.</t>
  </si>
  <si>
    <t>Materi kuliah hanya disusun oleh dosen pengajar tanpa melibatkan dosen lain.</t>
  </si>
  <si>
    <t>Materi kuliah disusun oleh kelompok dosen dalam satu bidang ilmu.</t>
  </si>
  <si>
    <t>Materi kuliah disusun oleh kelompok dosen dalam satu bidang ilmu, dengan memperhatikan masukan dari dosen lain.</t>
  </si>
  <si>
    <t>Materi kuliah disusun oleh kelompok dosen dalam satu bidang ilmu, dengan memperhatikan masukan dari dosen lain atau dari pengguna lulusan.</t>
  </si>
  <si>
    <t>Semua soal ujian tidak bermutu atau tidak sesuai dengan GBPP/SAP.</t>
  </si>
  <si>
    <t>Hanya satu contoh soal ujian yang mutunya baik, dan sesuai dengan GBPP/SAP.</t>
  </si>
  <si>
    <t>Dua s.d. tiga contoh soal ujian yang mutunya baik, dan sesuai dengan GBPP/SAP.</t>
  </si>
  <si>
    <t>Empat dari lima contoh soal ujian yang mutunya baik, dan sesuai dengan GBPP/SAP.</t>
  </si>
  <si>
    <t>Mutu soal ujian untuk lima mata kuliah yang diberikan semuanya bermutu baik, dan sesuai dengan GBPP/SAP.</t>
  </si>
  <si>
    <t>Rata-rata banyaknya mahasiswa per dosen Pembimbing Akademik (PA) per semester.</t>
  </si>
  <si>
    <t xml:space="preserve">Tidak ada pembimbingan, hanya ada pengesahan dokumen akademik oleh pegawai administratif </t>
  </si>
  <si>
    <t>Perwalian tidak dilakukan oleh dosen PA tetapi oleh Tenaga Administrasi.</t>
  </si>
  <si>
    <t>Perwalian dilakukan oleh sebagian dosen PA dan sebagian oleh Tenaga Administrasi.</t>
  </si>
  <si>
    <t>Perwalian dilakukan oleh seluruh dosen PA tetapi tidak seluruhnya menurut panduan tertulis.</t>
  </si>
  <si>
    <t>Dilakukan oleh seluruh dosen PA dengan baik sesuai panduan tertulis.</t>
  </si>
  <si>
    <t>Sistem bantuan dan bimbingan akademik tidak jalan, atau tidak ada pembimbingan.</t>
  </si>
  <si>
    <t>Sistem bantuan dan bimbingan akademik tidak efektif.</t>
  </si>
  <si>
    <t>Sistem bantuan dan bimbingan akademik cukup efektif.</t>
  </si>
  <si>
    <t>Sistem bimbingan akademik efektif.</t>
  </si>
  <si>
    <t>Sistem bimbingan akademik sangat efektif.</t>
  </si>
  <si>
    <t>(Tidak ada nilai 1)</t>
  </si>
  <si>
    <t>Tidak ada panduan tertulis.</t>
  </si>
  <si>
    <t>Ada panduan tertulis tetapi tidak disosialisasikan dengan baik, serta tidak dilaksanakan secara konsisten.</t>
  </si>
  <si>
    <t>Ada panduan tertulis dan disosialisasikan dengan baik, tetapi tidak dilaksanakan secara konsisten.</t>
  </si>
  <si>
    <t>Ada panduan tertulis yang disosialisasikan dan dilaksanakan dengan konsisten.</t>
  </si>
  <si>
    <r>
      <t xml:space="preserve">Sebagian besar dosen pembimbing </t>
    </r>
    <r>
      <rPr>
        <i/>
        <sz val="10"/>
        <color indexed="8"/>
        <rFont val="Arial"/>
        <family val="2"/>
      </rPr>
      <t>belum</t>
    </r>
    <r>
      <rPr>
        <sz val="10"/>
        <color indexed="8"/>
        <rFont val="Arial"/>
        <family val="2"/>
      </rPr>
      <t xml:space="preserve"> berpendidikan minimal S2 dan  tidak sesuai dengan bidang keahliannya.</t>
    </r>
  </si>
  <si>
    <t>Sebagian besar dosen pembimbing berpendidikan minimal S2, tetapi sebagian kecil tidak sesuai dengan bidang keahliannya.</t>
  </si>
  <si>
    <t>Seluruh dosen pembimbing berpendidikan minimal S2, tetapi sebagian kecil tidak sesuai dengan bidang keahliannya.</t>
  </si>
  <si>
    <t>Seluruh dosen pembimbing berpendidikan minimal S2 dan sesuai dengan bidang keahliannya.</t>
  </si>
  <si>
    <r>
      <t xml:space="preserve">Upaya perbaikan sistem pembelajaran yang telah dilakukan selama tiga tahun terakhir </t>
    </r>
    <r>
      <rPr>
        <sz val="10"/>
        <color indexed="8"/>
        <rFont val="Arial"/>
        <family val="2"/>
      </rPr>
      <t>berkaitan dengan:  (a) Materi, (b) Metode pembelajaran, (c) Penggunaan teknologi pembelajaran, dan (d) Cara-cara evaluasi.</t>
    </r>
  </si>
  <si>
    <t>Tidak ada upaya perbaikan.</t>
  </si>
  <si>
    <t>Upaya perbaikan dilakukan untuk 1 dari yang seharusnya diperbaiki/ ditingkatkan.</t>
  </si>
  <si>
    <t>Upaya perbaikan dilakukan untuk 2 dari 4 yang seharusnya diperbaiki/ ditingkatkan.</t>
  </si>
  <si>
    <t>Upaya perbaikan dilakukan untuk 3 dari 4  yang seharusnya diperbaiki/ ditingkatkan.</t>
  </si>
  <si>
    <t>Upaya perbaikan dilakukan untuk  semua dari yang seharusnya diperbaiki/ ditingkatkan.</t>
  </si>
  <si>
    <t>Kebijakan tertulis tentang suasana akademik (otonomi keilmuan, kebebasan akademik, kebebasan mimbar akademik, kemitraan dosen-mahasiswa).</t>
  </si>
  <si>
    <t>Tidak ada kebijakan tertulis tentang otonomi keilmuan, kebebasan akademik, kebebasan mimbar akademik, dan kemitraan dosen-mahasiswa.</t>
  </si>
  <si>
    <t>Kebijakan tertulis kurang lengkap.</t>
  </si>
  <si>
    <t>Kebijakan lengkap mencakup informasi tentang otonomi keilmuan, kebebasan akademik, kebebasan mimbar akademik, dan kemitraan dosen-mahasiswa, namun tidak dilaksanakan secara konsisten.</t>
  </si>
  <si>
    <t>Kebijakan lengkap mencakup informasi tentang otonomi keilmuan, kebebasan akademik, kebebasan mimbar akademik, dan kemitraan dosen-mahasiswa, serta dilaksanakan secara konsisten.</t>
  </si>
  <si>
    <t>Ketersediaan dan kelengkapan jenis prasarana, sarana serta dana yang memungkinkan terciptanya interaksi akademik antara sivitas akademika.</t>
  </si>
  <si>
    <t>Prasarana utama masih kurang, demikian pula dengan dukungan dana.</t>
  </si>
  <si>
    <t>Tersedia, cukup lengkap, milik sendiri atau sewa, dan dana yang cukup memadai.</t>
  </si>
  <si>
    <t>Tersedia, milik sendiri,   lengkap, dan dana yang memadai.</t>
  </si>
  <si>
    <t>Tersedia, milik sendiri,  sangat lengkap dan dana yang sangat memadai.</t>
  </si>
  <si>
    <t>Interaksi akademik berupa program dan kegiatan akademik, selain perkuliahan dan tugas-tugas khusus, untuk menciptakan suasana akademik (seminar, simposium, lokakarya, bedah buku dll).</t>
  </si>
  <si>
    <t>Kegiatan ilmiah yang terjadwal dilaksanakan lebih dari enam bulan sekali.</t>
  </si>
  <si>
    <t>Kegiatan ilmiah yang terjadwal dilaksanakan empat s.d. enam bulan sekali.</t>
  </si>
  <si>
    <t>Kegiatan ilmiah yang terjadwal dilaksanakan dua s.d tiga bulan sekali.</t>
  </si>
  <si>
    <t>Kegiatan ilmiah yang terjadwal dilaksanakan setiap bulan.</t>
  </si>
  <si>
    <t>Upaya dinilai kurang dan hasilnya tidak nampak, atau tidak ada upaya.</t>
  </si>
  <si>
    <t>Cukup dalam upaya dan hasilnya.</t>
  </si>
  <si>
    <t>Upaya baik, namun hasilnya baru cukup</t>
  </si>
  <si>
    <t>Upaya baik dan hasilnya suasana kondusif untuk meningkatkan suasana akademik yang baik.</t>
  </si>
  <si>
    <t>Pengembangan perilaku kecendekiawanan.Bentuk kegiatan antara lain dapat berupa: (a) Kegiatan penanggulangan kemiskinan, (b) Pelestarian lingkungan, (c) Peningkatan kesejahteraan masyarakat, (d) Kegiatan penanggulangan masalah  ekonomi, politik, sosial, budaya, dan lingkungan lainnya.</t>
  </si>
  <si>
    <t>Kegiatan yang dilakukan menunjang pengembangan perilaku kecendekiawanan.</t>
  </si>
  <si>
    <t>Kegiatan yang dilakukan cukup menunjang pengembangan perilaku kecendekiawanan.</t>
  </si>
  <si>
    <t>Kegiatan yang dilakukan sangat menunjang pengembangan perilaku kecendekiawanan.</t>
  </si>
  <si>
    <t>Kegiatan yang dilakukan tidak menunjang pengembangan perilaku kecendekiawanan.</t>
  </si>
  <si>
    <t>juta</t>
  </si>
  <si>
    <t>Keterlibatan program studi dalam perencanaan target kinerja, perencanaan kegiatan/ kerja dan perencanaan alokasi dan pengelolaan dana.</t>
  </si>
  <si>
    <t>Program studi tidak dilibatkan dalam perencanaan/ alokasi dan pengelolaan dana.</t>
  </si>
  <si>
    <t>Program studi hanya diminta untuk memberikan masukan. Perencanaan alokasi dan pengelolaan dana dilakukan oleh Fakultas/ Sekolah Tinggi.</t>
  </si>
  <si>
    <t>Program studi dilibatkan dalam perencanaan alokasi, namun pengelolaan dana dilakukan oleh Fakultas/Sekolah Tinggi.</t>
  </si>
  <si>
    <t>Program studi tidak diberi otonomi, tetapi dilibatkan dalam melaksanakan perencanaan alokasi  dan pengelolaan dana.</t>
  </si>
  <si>
    <t>Program studi secara otonom melaksanakan perencanaan alokasi  dan pengelolaan dana.</t>
  </si>
  <si>
    <t>Penggunaan dana untuk operasional (pendidikan, penelitian, pengabdian pada masyarakat, termasuk gaji dan upah).</t>
  </si>
  <si>
    <t>Dana yang diperoleh dalam rangka pelayanan/pengabdian kepada masyarakat dalam tiga  tahun terakhir.</t>
  </si>
  <si>
    <t>Luas ruang kerja dosen.</t>
  </si>
  <si>
    <t>Prasarana lain yang menunjang (misalnya tempat olah raga, ruang bersama, ruang himpunan mahasiswa, poliklinik)</t>
  </si>
  <si>
    <t>Prasarana kurang lengkap dan mutunya kurang baik.</t>
  </si>
  <si>
    <t>Prasarana cukup lengkap dan mutunya cukup untuk proses pembelajaran.</t>
  </si>
  <si>
    <t>Prasarana lengkap dan mutunya baik untuk proses pembelajaran</t>
  </si>
  <si>
    <t xml:space="preserve">Prasarana lengkap dan mutunya sangat baik untuk proses pembelajaran. </t>
  </si>
  <si>
    <t>Prasarana penunjang kurang lengkap dan mutunya kurang baik.</t>
  </si>
  <si>
    <t>Prasarana penunjang cukup lengkap dan mutunya cukup untuk memenuhi kebutuhan mahasiswa.</t>
  </si>
  <si>
    <t>Prasarana penunjang lengkap dan mutunya baik untuk memenuhi kebutuhan mahasiswa.</t>
  </si>
  <si>
    <t>Prasarana penunjang lengkap dan mutunya sangat baik untuk memenuhi kebutuhan mahasiswa.</t>
  </si>
  <si>
    <t>Tidak ada prasarana penunjang.</t>
  </si>
  <si>
    <t>Tidak memiliki jurnal terakreditasi</t>
  </si>
  <si>
    <t>Tidak ada jurnal yang nomornya lengkap</t>
  </si>
  <si>
    <t>1 judul jurnal, nomornya lengkap</t>
  </si>
  <si>
    <t>2 judul jurnal, nomornya lengkap</t>
  </si>
  <si>
    <t>≥ 3 judul jurnal, nomornya lengkap</t>
  </si>
  <si>
    <t>1 judul jurnal yang nomornya lengkap</t>
  </si>
  <si>
    <t xml:space="preserve"> ≥ 2 judul jurnal, nomornya lengkap</t>
  </si>
  <si>
    <t xml:space="preserve">Tidak ada perpustakaan di luar PT yang dapat diakses </t>
  </si>
  <si>
    <t>Ada perpustakaan di luar PT yang dapat diakses dan cukup baik fasilitasnya.</t>
  </si>
  <si>
    <t>Ada perpustakaan di luar PT yang dapat diakses dan baik fasilitasnya.</t>
  </si>
  <si>
    <r>
      <t xml:space="preserve">Ada beberapa perpustakaan di luar PT yang dapat diakses dan sangat baik fasilitasnya, atau jika nilai rata-rata dari butir 6.4.1 </t>
    </r>
    <r>
      <rPr>
        <sz val="10"/>
        <color indexed="8"/>
        <rFont val="Symbol"/>
        <family val="1"/>
        <charset val="2"/>
      </rPr>
      <t>³</t>
    </r>
    <r>
      <rPr>
        <sz val="10"/>
        <color indexed="8"/>
        <rFont val="Arial"/>
        <family val="2"/>
      </rPr>
      <t xml:space="preserve"> 3.</t>
    </r>
  </si>
  <si>
    <t>Sangat kurang, kegiatan praktikum praktis tidak pernah dilakukan.</t>
  </si>
  <si>
    <t>Kurang memadai, sehingga kegiatan praktikum dilaksanakan kurang dari batas minimal.</t>
  </si>
  <si>
    <t>Cukup memadai, sebagian besar dalam kondisi baik, namun tidak mungkin digunakan di luar kegiatan praktikum terjadwal.</t>
  </si>
  <si>
    <t>Memadai, sebagian besar dalam kondisi baik, dan PS memiliki akses yang baik (masih memungkinkan menggunakannya di luar kegiatan praktikum terjadwal, walau terbatas).</t>
  </si>
  <si>
    <t>Sangat memadai, terawat dengan sangat baik, dan PS memiliki akses yang sangat baik (memiliki fleksibilitas dalam menggunakannya di luar kegiatan praktikum terjadwal).</t>
  </si>
  <si>
    <r>
      <t xml:space="preserve">Proses pembelajaran dilakukan secara manual.Pengelolaan koleksi perpustakaan menggunakan komputer </t>
    </r>
    <r>
      <rPr>
        <i/>
        <sz val="10"/>
        <color indexed="8"/>
        <rFont val="Arial"/>
        <family val="2"/>
      </rPr>
      <t>stand alone,</t>
    </r>
    <r>
      <rPr>
        <sz val="10"/>
        <color indexed="8"/>
        <rFont val="Arial"/>
        <family val="2"/>
      </rPr>
      <t xml:space="preserve"> atau secara manual.</t>
    </r>
  </si>
  <si>
    <r>
      <t xml:space="preserve">Sebagian dengan komputer, namun tidak terhubung dengan jaringan luas/internet.Kebanyakan </t>
    </r>
    <r>
      <rPr>
        <i/>
        <sz val="10"/>
        <color indexed="8"/>
        <rFont val="Arial"/>
        <family val="2"/>
      </rPr>
      <t>software</t>
    </r>
    <r>
      <rPr>
        <sz val="10"/>
        <color indexed="8"/>
        <rFont val="Arial"/>
        <family val="2"/>
      </rPr>
      <t xml:space="preserve"> yang digunakan belum berlisensi.  Koleksi perpustakaan dikelola dengan komputer yang tidak terhubung jaringan.</t>
    </r>
  </si>
  <si>
    <r>
      <t xml:space="preserve">Dengan komputer yang terhubung dengan jaringan luas/internet, </t>
    </r>
    <r>
      <rPr>
        <i/>
        <sz val="10"/>
        <color indexed="8"/>
        <rFont val="Arial"/>
        <family val="2"/>
      </rPr>
      <t xml:space="preserve">software </t>
    </r>
    <r>
      <rPr>
        <sz val="10"/>
        <color indexed="8"/>
        <rFont val="Arial"/>
        <family val="2"/>
      </rPr>
      <t xml:space="preserve">yang berlisensi dengan jumlah yang memadai. Tersedia fasilitas </t>
    </r>
    <r>
      <rPr>
        <i/>
        <sz val="10"/>
        <color indexed="8"/>
        <rFont val="Arial"/>
        <family val="2"/>
      </rPr>
      <t>e-learning</t>
    </r>
    <r>
      <rPr>
        <sz val="10"/>
        <color indexed="8"/>
        <rFont val="Arial"/>
        <family val="2"/>
      </rPr>
      <t xml:space="preserve"> namun belum dimanfaatkan secara efektif.  Koleksi perpustakaan dapat diakses secara </t>
    </r>
    <r>
      <rPr>
        <i/>
        <sz val="10"/>
        <color indexed="8"/>
        <rFont val="Arial"/>
        <family val="2"/>
      </rPr>
      <t xml:space="preserve">on-line </t>
    </r>
    <r>
      <rPr>
        <sz val="10"/>
        <color indexed="8"/>
        <rFont val="Arial"/>
        <family val="2"/>
      </rPr>
      <t>namun masih ada kendala dalam kecepatan akses.</t>
    </r>
  </si>
  <si>
    <r>
      <t xml:space="preserve">Dengan komputer yang terhubung dengan jaringan luas/internet, </t>
    </r>
    <r>
      <rPr>
        <i/>
        <sz val="10"/>
        <color indexed="8"/>
        <rFont val="Arial"/>
        <family val="2"/>
      </rPr>
      <t>software</t>
    </r>
    <r>
      <rPr>
        <sz val="10"/>
        <color indexed="8"/>
        <rFont val="Arial"/>
        <family val="2"/>
      </rPr>
      <t xml:space="preserve"> yang berlisensi dengan jumlah yang memadai. Tersedia fasilitas </t>
    </r>
    <r>
      <rPr>
        <i/>
        <sz val="10"/>
        <color indexed="8"/>
        <rFont val="Arial"/>
        <family val="2"/>
      </rPr>
      <t>e-learning</t>
    </r>
    <r>
      <rPr>
        <sz val="10"/>
        <color indexed="8"/>
        <rFont val="Arial"/>
        <family val="2"/>
      </rPr>
      <t xml:space="preserve"> yang digunakan secara baik, dan akses </t>
    </r>
    <r>
      <rPr>
        <i/>
        <sz val="10"/>
        <color indexed="8"/>
        <rFont val="Arial"/>
        <family val="2"/>
      </rPr>
      <t>on-line</t>
    </r>
    <r>
      <rPr>
        <sz val="10"/>
        <color indexed="8"/>
        <rFont val="Arial"/>
        <family val="2"/>
      </rPr>
      <t xml:space="preserve"> ke koleksi perpustakaan.</t>
    </r>
  </si>
  <si>
    <t>Aksesibilitas data dalam sistem informasi</t>
  </si>
  <si>
    <t>Jumlah penelitian yang sesuai dengan bidang keilmuan PS, yang dilakukan oleh dosen tetap yang bidang keahliannya sama dengan PS, selama 3 tahun.</t>
  </si>
  <si>
    <t>Keterlibatan mahasiswa yang melakukan tugas akhir dalam penelitian dosen</t>
  </si>
  <si>
    <t>Jumlah artikel ilmiah yang dihasilkan oleh dosen tetap yang bidang keahliannya sama dengan PS, selama 3 tahun.</t>
  </si>
  <si>
    <t>Tidak ada karya dosen tetap yang memperoleh HaKI</t>
  </si>
  <si>
    <t>Satu yang memperoleh HaKI</t>
  </si>
  <si>
    <t>Skor karya yang memperoleh HaKI.</t>
  </si>
  <si>
    <t>Dua atau lebih karya yang memperoleh HaKI</t>
  </si>
  <si>
    <t>Jumlah kegiatan pelayanan/pengabdian kepada masyarakat (PkM) yang dilakukan oleh dosen tetap yang bidang keahliannya sama dengan PS selama tiga tahun.</t>
  </si>
  <si>
    <t>Mahasiswa tidak dilibatkan dalam kegiatan PkM.</t>
  </si>
  <si>
    <t>Keterlibatan mahasiswa sangat kurang.</t>
  </si>
  <si>
    <t>Mahasiswa hanya diminta sebagai tenaga pembantu.</t>
  </si>
  <si>
    <t>Mahasiswa terlibat penuh, namun tanggung jawab ada pada dosen Pembina.</t>
  </si>
  <si>
    <t>Mahasiswa terlibat penuh dan diberi tanggung jawab.</t>
  </si>
  <si>
    <t>Belum ada atau tidak ada kerjasama.</t>
  </si>
  <si>
    <t xml:space="preserve">Ada kerjasama dengan institusi di dalam negeri, kurang dalam jumlah. Sebagian besar relevan dengan bidang keahlian PS. </t>
  </si>
  <si>
    <t>Ada kerjasama dengan institusi di dalam negeri, cukup dalam jumlah.  Sebagian besar relevan dengan bidang keahlian PS</t>
  </si>
  <si>
    <t>Ada kerjasama dengan institusi di dalam negeri, banyak dalam jumlah.  Semuanya  relevan dengan bidang keahlian PS.</t>
  </si>
  <si>
    <t xml:space="preserve">Ada kerjasama dengan institusi di luar negeri, kurang dalam jumlah.  Sebagian besar relevan dengan bidang keahlian PS. </t>
  </si>
  <si>
    <t>Ada kerjasama dengan institusi di luar negeri, cukup dalam jumlah.  Sebagian besar relevan dengan bidang keahlian PS.</t>
  </si>
  <si>
    <t>Ada kerjasama dengan institusi di luar negeri, banyak dalam jumlah.  Semuanya  relevan dengan bidang keahlian PS.</t>
  </si>
  <si>
    <t>Jml mahasiswa eksata</t>
  </si>
  <si>
    <t>Jml mahasiswa sosial</t>
  </si>
  <si>
    <t>Jml dosen eksata</t>
  </si>
  <si>
    <t>Jml dosen sosial</t>
  </si>
  <si>
    <t>Rasio eksata</t>
  </si>
  <si>
    <t>Rasio sosial</t>
  </si>
  <si>
    <t>Nilai sosial</t>
  </si>
  <si>
    <t>Nilai eksakta</t>
  </si>
  <si>
    <r>
      <t xml:space="preserve">Kejelasan dan kerealistikan </t>
    </r>
    <r>
      <rPr>
        <sz val="12"/>
        <color indexed="8"/>
        <rFont val="Arial"/>
        <family val="2"/>
      </rPr>
      <t>visi, misi, tujuan, dan sasaran Fakultas/Sekolah Tinggi.</t>
    </r>
  </si>
  <si>
    <r>
      <t>Mutu, kecukupan, akses p</t>
    </r>
    <r>
      <rPr>
        <sz val="12"/>
        <color indexed="8"/>
        <rFont val="Arial"/>
        <family val="2"/>
      </rPr>
      <t>rasarana yang dikelola Fakultas untuk PS.</t>
    </r>
  </si>
  <si>
    <r>
      <t xml:space="preserve">Catatan: Tiap baris hanya ada satu tanda </t>
    </r>
    <r>
      <rPr>
        <sz val="12"/>
        <color indexed="8"/>
        <rFont val="Arial"/>
        <family val="2"/>
      </rPr>
      <t>√.</t>
    </r>
  </si>
  <si>
    <r>
      <t xml:space="preserve">Sistem pengelolaan fungsional dan operasional Fakultas/Sekolah Tinggi mencakup: </t>
    </r>
    <r>
      <rPr>
        <i/>
        <sz val="12"/>
        <color indexed="8"/>
        <rFont val="Arial"/>
        <family val="2"/>
      </rPr>
      <t>planning, organizing</t>
    </r>
    <r>
      <rPr>
        <sz val="12"/>
        <color indexed="8"/>
        <rFont val="Arial"/>
        <family val="2"/>
      </rPr>
      <t xml:space="preserve">, </t>
    </r>
    <r>
      <rPr>
        <i/>
        <sz val="12"/>
        <color indexed="8"/>
        <rFont val="Arial"/>
        <family val="2"/>
      </rPr>
      <t xml:space="preserve">staffing, leading, controlling </t>
    </r>
    <r>
      <rPr>
        <sz val="12"/>
        <color indexed="8"/>
        <rFont val="Arial"/>
        <family val="2"/>
      </rPr>
      <t>yang efektif dilaksanakan.</t>
    </r>
  </si>
  <si>
    <t>Tersedia sistem penerimaan  mahasiswa baru  dan dilaksanakan secara konsisten.  Dokumen sistem penerimaan mahasiswa baru mencakup: (1) kebijakan penerimaan mahasiswa baru, (2) kriteria penerimaan mahasiswa baru, (3) prosedur penerimaan mahasiswa baru, (4) instrumen; penerimaan mahasiswa baru, (5) sistem pengambilan keputusan.</t>
  </si>
  <si>
    <t>Motivasi penerimaan mahasiswa transfer. Alasan menerima mahasiswa transfer seharusnya untuk meningkatkan layanan pendidikan.  Penerimaan mahasiswa transfer dilakukan dengan proses seleksi yang baik/ketat dalam upaya tetap menjaga mutu, tidak hanya  karena pertimbangan ekonomi semata.</t>
  </si>
  <si>
    <t>Rata-rata masa studi lulusan dan rata-rata IPK.</t>
  </si>
  <si>
    <t xml:space="preserve">Dosen yang tugas belajar </t>
  </si>
  <si>
    <r>
      <t xml:space="preserve">Bentuk dukungan Fakultas/Sekolah Tinggi dalam </t>
    </r>
    <r>
      <rPr>
        <sz val="12"/>
        <color indexed="8"/>
        <rFont val="Arial"/>
        <family val="2"/>
      </rPr>
      <t>penyusunan, implementasi, dan pengembangan kurikulum antara lain dalam bentuk penyediaan fasilitas, pengorganisasian kegiatan, serta bantuan pendanaan.</t>
    </r>
  </si>
  <si>
    <t>Fakultas/Sekolah Tinggi melakukan monitoring dan evaluasi secara bersistem dan hasilnya digunakan untuk perbaikan proses pembelajaran.</t>
  </si>
  <si>
    <t>Bentuk dukungan dapat berupa:(1) kebijakan tentang suasana akademik jelas, (2) menyediakan sarana dan prasarana (3) dukungan dana yang cukup, (4) kegiatan akademik di dalam dan di luar kelas yang mendorong interaksi akademik antara dosen dan mahasiswa untuk pengembangan  perilaku kecendekiawanan.</t>
  </si>
  <si>
    <t>Dana yang diperoleh dalam rangka pelayanan/pengabdian kepada masyarakat dalam tiga tahun terakhir.</t>
  </si>
  <si>
    <r>
      <t>Sistem informasi</t>
    </r>
    <r>
      <rPr>
        <sz val="12"/>
        <color indexed="8"/>
        <rFont val="Arial"/>
        <family val="2"/>
      </rPr>
      <t xml:space="preserve"> dan fasilitas yang digunakan Fakultas/Sekolah Tinggi</t>
    </r>
    <r>
      <rPr>
        <sz val="12"/>
        <color indexed="8"/>
        <rFont val="Arial"/>
        <family val="2"/>
      </rPr>
      <t xml:space="preserve"> dalam proses pembelajaran </t>
    </r>
    <r>
      <rPr>
        <sz val="12"/>
        <color indexed="8"/>
        <rFont val="Arial"/>
        <family val="2"/>
      </rPr>
      <t>(</t>
    </r>
    <r>
      <rPr>
        <i/>
        <sz val="12"/>
        <color indexed="8"/>
        <rFont val="Arial"/>
        <family val="2"/>
      </rPr>
      <t>hardware</t>
    </r>
    <r>
      <rPr>
        <sz val="12"/>
        <color indexed="8"/>
        <rFont val="Arial"/>
        <family val="2"/>
      </rPr>
      <t xml:space="preserve">, </t>
    </r>
    <r>
      <rPr>
        <i/>
        <sz val="12"/>
        <color indexed="8"/>
        <rFont val="Arial"/>
        <family val="2"/>
      </rPr>
      <t>software</t>
    </r>
    <r>
      <rPr>
        <sz val="12"/>
        <color indexed="8"/>
        <rFont val="Arial"/>
        <family val="2"/>
      </rPr>
      <t xml:space="preserve">, </t>
    </r>
    <r>
      <rPr>
        <i/>
        <sz val="12"/>
        <color indexed="8"/>
        <rFont val="Arial"/>
        <family val="2"/>
      </rPr>
      <t>e-learning,</t>
    </r>
    <r>
      <rPr>
        <sz val="12"/>
        <color indexed="8"/>
        <rFont val="Arial"/>
        <family val="2"/>
      </rPr>
      <t xml:space="preserve"> perpustakaan, dll.)</t>
    </r>
  </si>
  <si>
    <r>
      <t>Sistem informasi</t>
    </r>
    <r>
      <rPr>
        <sz val="12"/>
        <color indexed="8"/>
        <rFont val="Arial"/>
        <family val="2"/>
      </rPr>
      <t xml:space="preserve"> dan fasilitas yang digunakan Fakultas</t>
    </r>
    <r>
      <rPr>
        <sz val="12"/>
        <color indexed="8"/>
        <rFont val="Arial"/>
        <family val="2"/>
      </rPr>
      <t xml:space="preserve"> dalam administrasi </t>
    </r>
    <r>
      <rPr>
        <sz val="12"/>
        <color indexed="8"/>
        <rFont val="Arial"/>
        <family val="2"/>
      </rPr>
      <t>(akademik, keuangan, personil, dll.).</t>
    </r>
  </si>
  <si>
    <t>Rencana strategis pengembangan sistem informasi jangka panjang: mempertimbangkan perkembangan teknologi informasi, dan komitmen Fakultas/Sekolah Tinggi dalam hal pendanaan.</t>
  </si>
  <si>
    <t>INFORMASI DARI BORANG UNIT PENGELOLA PROGRAM STUDI</t>
  </si>
  <si>
    <t>Besar dana penelitian (dalam juta rupiah).</t>
  </si>
  <si>
    <t>Struktur organisasi kurang mampu menggerakkan fungsi lembaga.</t>
  </si>
  <si>
    <t>Struktur organisasi mampu menggerakkan fungsi lembaga secara cukup efisien (misalnya struktur ”terlalu gemuk”).</t>
  </si>
  <si>
    <t>Struktur organisasi mampu menggerakkan fungsi lembaga secara efisien.</t>
  </si>
  <si>
    <t>Struktur organisasi mampu menggerakkan fungsi lembaga secara sangat efisien.</t>
  </si>
  <si>
    <t>Tidak memiliki unit pelaksana penjaminan mutu.</t>
  </si>
  <si>
    <t>Memiliki unit penjaminan mutu di tingkat pusat, namun belum melakukan sosialisasi.</t>
  </si>
  <si>
    <t xml:space="preserve">Memiliki unit penjaminan mutu di tingkat pusat/fakultas yang baru dalam tahap sosialisasi  sistem penjaminan mutu.  </t>
  </si>
  <si>
    <t>Memiliki unit penjaminan mutu di tingkat pusat/fakultas yang aktif mensosialisasikan sistem penjaminan mutu dan mulai menerapkannya.</t>
  </si>
  <si>
    <t>Memiliki unit penjaminan mutu di tingkat pusat/fakultas yang telah sepenuhnya melakukan proses penjaminan mutu.</t>
  </si>
  <si>
    <t>Tidak memiliki standar mutu.</t>
  </si>
  <si>
    <t>Tersedia standar mutu yang lengkap, namun belum dilaksanakan.</t>
  </si>
  <si>
    <t>Tersedia standar mutu yang lengkap dan dilaksanakan dengan cukup baik.</t>
  </si>
  <si>
    <t>Tersedia standar mutu yang lengkap dan dilaksanakan dengan baik.</t>
  </si>
  <si>
    <t>Tersedia standar mutu yang  lengkap dan dilaksanakan dengan sangat baik.</t>
  </si>
  <si>
    <t>(Tidak ada skor 3)</t>
  </si>
  <si>
    <t>Tidak tersedia  dokumen tentang penerimaan mahasiswa baru.</t>
  </si>
  <si>
    <t>Tersedia dokumen tentang penerimaan mahasiswa baru, namun pelaksanaannya kurang  konsisten.</t>
  </si>
  <si>
    <t xml:space="preserve">Tersedia dokumen lengkap tentang penerimaan mahasiswa baru dan dilaksanakan secara konsisten. </t>
  </si>
  <si>
    <t>Menerima mahasiswa transfer tanpa seleksi.</t>
  </si>
  <si>
    <t>Alasan penerimaan untuk meningkatkan layanan pendidikan, proses dilakukan secara kurang ketat dan baik, mutu mahasiswa kurang baik.</t>
  </si>
  <si>
    <t>Alasan penerimaan untuk meningkatkan layanan pendidikan, proses dilakukan secara ketat dan baik, mahasiswa yang diterima kurang bermutu.</t>
  </si>
  <si>
    <t>Alasan penerimaan untuk meningkatkan layanan pendidikan,proses dilakukan secara ketat dan baik, mahasiswa yang diterima bermutu akademik tinggi.</t>
  </si>
  <si>
    <t>PS1</t>
  </si>
  <si>
    <t>Rata-rata IPK lulusan</t>
  </si>
  <si>
    <t>Skor 1</t>
  </si>
  <si>
    <t>PS2</t>
  </si>
  <si>
    <t>PS3</t>
  </si>
  <si>
    <t>PS4</t>
  </si>
  <si>
    <t>PS5</t>
  </si>
  <si>
    <t>PS6</t>
  </si>
  <si>
    <t>PS7</t>
  </si>
  <si>
    <t>Skor 2</t>
  </si>
  <si>
    <t>Skor 3</t>
  </si>
  <si>
    <t>Skor 4</t>
  </si>
  <si>
    <t>Skor 5</t>
  </si>
  <si>
    <t>Skor 6</t>
  </si>
  <si>
    <t>Skor 7</t>
  </si>
  <si>
    <t>Rata-rata masa studi lulusan (tahun)</t>
  </si>
  <si>
    <t>Beri angka "1" pada sel yang ada Ps-nya, dan angka "0" jika tidak.</t>
  </si>
  <si>
    <t>Rincian perhitungan butir 3.2.1.</t>
  </si>
  <si>
    <t>Tidak ada upaya.</t>
  </si>
  <si>
    <t>Ada upaya, dilaksanakan dengan kurang baik, hasilnya kurang efektif.</t>
  </si>
  <si>
    <t>Ada upaya, dilaksana-kan dengan baik, hasilnya cukup efektif.</t>
  </si>
  <si>
    <t>Ada upaya, dilaksanakan dengan baik,  hasilnya efektif.</t>
  </si>
  <si>
    <t>Ada upaya, dilaksanakan dengan baik,  hasilnya sangat efektif.</t>
  </si>
  <si>
    <t>Visi PS:</t>
  </si>
  <si>
    <t>Sasaran …</t>
  </si>
  <si>
    <t>Sosialisasi dilakukan dengan …</t>
  </si>
  <si>
    <t>Tata pamong …</t>
  </si>
  <si>
    <t>Kepemimpinan PS</t>
  </si>
  <si>
    <t>Sistem pengelolaan PS</t>
  </si>
  <si>
    <t>Pelaksanaan penjaminan mutu</t>
  </si>
  <si>
    <t xml:space="preserve">Umpan balik diperoleh </t>
  </si>
  <si>
    <t>Upaya yang dilakukan untuk keberlanjutan PS:</t>
  </si>
  <si>
    <t>Rata-rata Indeks Prestasi Kumulatif (IPK) selama lima tahun terakhir</t>
  </si>
  <si>
    <t xml:space="preserve">Penerimaan mahasiswa non reguler </t>
  </si>
  <si>
    <t>Penghargaan atas prestasi mahasiswa di bidang nalar, minat, dan bakat:</t>
  </si>
  <si>
    <t>Rasio mahasiswa baru transfer terhadap mahasiswa baru bukan transfer</t>
  </si>
  <si>
    <t>Jumlah mahasiswa baru yang diterima pada TS-6 yang masih terdaftar</t>
  </si>
  <si>
    <t>Jumlah mahasiswa baru yang diterima pada TS-6 yang telah lulus</t>
  </si>
  <si>
    <t>Jenis layanan PS kepada mahasiswa antara lain:</t>
  </si>
  <si>
    <t>Kualitas layanan kepada mahasiswa …</t>
  </si>
  <si>
    <t>Upaya pelacakan dan perekaman data lulusan …</t>
  </si>
  <si>
    <t>Penggunaan hasil pelacakan untuk perbaikan …</t>
  </si>
  <si>
    <t>Bentuk partisipasi lulusan dan alumni untuk kegiatan akademik:</t>
  </si>
  <si>
    <t>Bentuk partisipasi lulusan dan alumni untuk kegiatan non akademik:</t>
  </si>
  <si>
    <t>Pedoman tertulis tentang sistem seleksi, perekrutan, penempatan, pengembangan, retensi, dan pemberhentian dosen dan tenaga kependidikan…</t>
  </si>
  <si>
    <t>Pedoman tertulis tentang sistem monitoring dan evaluasi, serta rekam jejak kinerja dosen dan tenaga kependidikan …</t>
  </si>
  <si>
    <t>Pelaksanaan monitoring dan evaluasi kinerja dosen di bidang tridarma…</t>
  </si>
  <si>
    <t>S1</t>
  </si>
  <si>
    <t>S2</t>
  </si>
  <si>
    <t>S3</t>
  </si>
  <si>
    <t>Dosen tetap berpendidikan terakhir S1</t>
  </si>
  <si>
    <t>Dosen tetap berpendidikan terakhir S2</t>
  </si>
  <si>
    <t>Dosen tetap berpendidikan terakhir S3</t>
  </si>
  <si>
    <t>Persentase dosen tetap yang memiliki jabatan lektor kepala dan guru besar yang bidang keahliannya sesuai dengan kompetensi PS</t>
  </si>
  <si>
    <t>Jumlah dosen dengan jabatan lektor kepala dan guru besar</t>
  </si>
  <si>
    <t>Persentase dosen tetap yang berpendidikan S3 yang bidang keahliannya sesuai dengan kompetensi PS</t>
  </si>
  <si>
    <t>Sebagian besar dosen mengajar mata kuliah yang sesuai dengan bidang ilmunya.</t>
  </si>
  <si>
    <t>Persentase jumlah dosen tidak tetap, terhadap jumlah seluruh dosen</t>
  </si>
  <si>
    <t>Sebagian besar dosen tidak tetap telah mengajar mata kuliah yang sesuai bidangnya.</t>
  </si>
  <si>
    <t>Prestasi dalam mendapatkan penghargaan hibah dalam tiga tahun terakhir:</t>
  </si>
  <si>
    <t xml:space="preserve">Reputasi dan keluasan jejaring dosen dalam bidang akademik dan profesi. </t>
  </si>
  <si>
    <t>Persentase dosen yang menjadi anggota masyarakat bidang ilmu</t>
  </si>
  <si>
    <t>Jumlah tenaga laboran = , teknisi = , operator = , dan programer = .</t>
  </si>
  <si>
    <t>Upaya yang telah dilakukan PS untuk meningkatkan kualifikasi dan kompetensi tenaga kependidikan</t>
  </si>
  <si>
    <t>Kelengkapan dan perumusan kompetensi dalam kurikulum:</t>
  </si>
  <si>
    <t>Kesesuaian kurikulum dengan visi dan misi PS:</t>
  </si>
  <si>
    <t>Kesesuaian mata kuliah dan urutannya dengan standar kompetensi PS:</t>
  </si>
  <si>
    <t>Persentase mata kuliah  yang dalam penentuan nilai akhirnya memberikan bobot pada tugas-tugas (prektikum/praktek, PR atau makalah) ≥ 20%</t>
  </si>
  <si>
    <t>Persentase mata kuliah yang memiliki deskripsi, silabus dan SAP</t>
  </si>
  <si>
    <t>Rasio sks mata kuliah pilihan yang disediakan terhadap jumlah sks yang diwajibkan</t>
  </si>
  <si>
    <t>Pelaksanaan peninjauan praktikum dalam lima tahun terakhir.</t>
  </si>
  <si>
    <t>Penyesuaian kurikulum dengan perkembangan Ipteks dan kebutuhan lapangan kerja.</t>
  </si>
  <si>
    <t>Monitoring terhadap proses pembelajaran mencakup: (a) kehadiran mahasiswa, (b) kehadiran dosen, (c) materi kuliah.</t>
  </si>
  <si>
    <t>Mekanisme penyusunan materi kuliah.</t>
  </si>
  <si>
    <t>Pelaksanaan kegiatan pembimbingan akademik:</t>
  </si>
  <si>
    <t>Jumlah rata-rata pertemuan pembimbingan per mahasiswa per semester</t>
  </si>
  <si>
    <t>Efektivitas kegiatan perwalian/pembimbingan akademik:</t>
  </si>
  <si>
    <t>Ketersediaan panduan tugas akhir, sosialisasi dan konsistensi pelaksanaannya.</t>
  </si>
  <si>
    <t>Rata-rata mahasiswa per dosen pembimbing tugas akhir</t>
  </si>
  <si>
    <t>Rata-rata jumlah pertemuan/ pembimbingan selama penyelesaian TA.</t>
  </si>
  <si>
    <t xml:space="preserve">Upaya perbaikan sistem pembelajaran yang telah dilakukan selama tiga tahun terakhir antara lain: </t>
  </si>
  <si>
    <t>Kebijakan tertulis tentang suasana akademik (otonomi keilmuan, kebebasan akademik, kebebasan mimbar akademik, kemitraan dosen-mahasiswa):…</t>
  </si>
  <si>
    <t>Bentuk kegiatan terkait pengembangan perilaku kecendekiawanan antara lain:</t>
  </si>
  <si>
    <t>Bentuk kegiatan interaksi akademik antara dosen dan mahasiswa:</t>
  </si>
  <si>
    <t>Program/kegiatan akademik yang mendukung terciptanya suasana akademik yang kondusif:</t>
  </si>
  <si>
    <t>Sarana dan prasarana yang mendukung terciptanya suasana akademik yang kondusif:…</t>
  </si>
  <si>
    <t>Keterlibatan program studi dalam perencanaan kegiatan dan pengelolaan dana:</t>
  </si>
  <si>
    <t>Prasarana yang dimiliki/dapat diakses oleh PS: …</t>
  </si>
  <si>
    <t>Prasarana lain yang menunjang yang dimiliki/dapat diakses oleh PS: …</t>
  </si>
  <si>
    <t>Perpustakaan di luar PT yang dapat diakses antara lain: …</t>
  </si>
  <si>
    <t>Karya PS/institusi memperoleh perlindungan HaKI dalam 3 tahun terakhir</t>
  </si>
  <si>
    <t>Bentuk keterlibatan mahasiswa dalam kegiatan PkM:</t>
  </si>
  <si>
    <t>Visi Fakultas: …</t>
  </si>
  <si>
    <t>Strategi pencapaian sasaran …</t>
  </si>
  <si>
    <t>Sosialisasi dilakukan dengan cara: …</t>
  </si>
  <si>
    <t>Pimpinan Fakultas telah menjalankan tata pamong yang …</t>
  </si>
  <si>
    <t>Struktur organisasi terdiri atas unit: …</t>
  </si>
  <si>
    <t xml:space="preserve">Kepemimpinan Fakultas lemah dalam karakteristik berikut: (1) kepemim-pinan operasional, (2) kepemim-pinan organisasi, (3) kepemim-pinan publik. </t>
  </si>
  <si>
    <t xml:space="preserve">Kepemimpinan Fakultas memiliki karakter kepemimpinan yang kuat dalam salah satu dari karakteristik berikut: (1) kepemimpinan operasional, (2) kepemimpinan organisasi, (3) kepemimpinan publik. </t>
  </si>
  <si>
    <t xml:space="preserve">Kepemimpinan Fakultas memiliki karakter kepemimpinan yang kuat dalam dua dari karakteristik berikut: (1) kepemimpinan operasional, (2) kepemimpinan organisasi, (3) kepemimpinan publik. </t>
  </si>
  <si>
    <t xml:space="preserve">Kepemimpinan Fakultas memiliki karakteristik yang kuat dalam: (1) kepemimpinan operasional, (2) kepemimpinan organisasi, (3) kepemimpinan publik. </t>
  </si>
  <si>
    <t>Kepemimpinan Fakultas …</t>
  </si>
  <si>
    <r>
      <t xml:space="preserve">Sistem pengelolaan fungsional dan operasional Fakultas mencakup: </t>
    </r>
    <r>
      <rPr>
        <i/>
        <sz val="10"/>
        <color indexed="8"/>
        <rFont val="Arial"/>
        <family val="2"/>
      </rPr>
      <t>planning, organizing, staffing, leading, controlling</t>
    </r>
    <r>
      <rPr>
        <sz val="10"/>
        <color indexed="8"/>
        <rFont val="Arial"/>
        <family val="2"/>
      </rPr>
      <t xml:space="preserve"> </t>
    </r>
  </si>
  <si>
    <t>Standar mutu dan pelaksanaannya.</t>
  </si>
  <si>
    <t>Sistem penerimaan mahasiswa baru.</t>
  </si>
  <si>
    <t>Motivasi penerimaan mahasiswa transfer:</t>
  </si>
  <si>
    <t>Rata-rata masa studi lulusan = …, dan rata-rata IPK lulusan = …</t>
  </si>
  <si>
    <t>Upaya pengembangan dan peningkatan mutu lulusan: …</t>
  </si>
  <si>
    <t>Upaya pengembangan dan peningkatan mutu dosen tetap dilakukan dengan: …</t>
  </si>
  <si>
    <t>Upaya fakultas dalam mengembangkan tenaga dosen tetap</t>
  </si>
  <si>
    <t xml:space="preserve">Bentuk dukungan Fakultas/Sekolah Tinggi dalam penyusunan, implementasi, dan pengembangan kurikulum antara lain: </t>
  </si>
  <si>
    <t>Monitoring dan evaluasi yang dilakukan oleh pihak Fakultas: …</t>
  </si>
  <si>
    <t>Bentuk dukungan Fakultas dalam peningkatan suasana akademik antara lain:</t>
  </si>
  <si>
    <t>Penggunaan dana untuk operasional (pendidikan, penelitian, pelayanan/ pengabdian kepada masyarakat).</t>
  </si>
  <si>
    <t>Investasi untuk pengadaan sarana dalam tiga tahun terakhir:</t>
  </si>
  <si>
    <t>Rencana investasi untuk pengadaan sarana dalam lima tahun ke depan.</t>
  </si>
  <si>
    <t>Mutu, kecukupan, akses prasarana yang dikelola Fakultas untuk PS.</t>
  </si>
  <si>
    <t>Rencana pengembangan prasarana oleh Fakultas untuk PS:…</t>
  </si>
  <si>
    <t>Sistem informasi dan fasilitas yang digunakan Fakultas/Sekolah Tinggi dalam proses pembelajaran (hardware, software, e-learning, perpustakaan, dll.)</t>
  </si>
  <si>
    <t>Sistem informasi dan fasilitas yang digunakan Fakultas dalam administrasi (akademik, keuangan, personil, dll.).</t>
  </si>
  <si>
    <t>Media/cara penyebaran informasi untuk sivitas akademika di Fakultas</t>
  </si>
  <si>
    <t>Media/cara penyebaran informasi untuk sivitas akademika di Fakultas: …</t>
  </si>
  <si>
    <t>Rencana strategis pengembangan sistem informasi jangka panjang: …</t>
  </si>
  <si>
    <t>Kegiatan penelitian dosen tetap.</t>
  </si>
  <si>
    <t>Rata-rata jumlah penelitian per dosen tetap per 3 tahun</t>
  </si>
  <si>
    <t>Upaya pengembangan kegiatan penelitian oleh pihak Fakultas: …</t>
  </si>
  <si>
    <t>Rata-rata jumlah kegiatan PkM per dosen tetap per 3 tahun</t>
  </si>
  <si>
    <t>Kegiatan PkM dosen tetap.</t>
  </si>
  <si>
    <t>Upaya pengembangan kegiatan PkM: …</t>
  </si>
  <si>
    <t>Kegiatan kerjasama dengan instansi di DN dalam tiga tahun terakhir: …</t>
  </si>
  <si>
    <t>Kegiatan kerjasama dengan instansi di LN dalam tiga tahun terakhir: …</t>
  </si>
  <si>
    <t>Ket.</t>
  </si>
  <si>
    <t>Pada hari …………… tanggal …………2009 telah dilaksanakan asesmen lapangan, untuk akreditasi Program Studi ………….., Jurusan ………………, Fakultas ………,  Universitas/Institut/Sekolah Tinggi/Politeknik/Akademi *)………………………………..</t>
  </si>
  <si>
    <t>Pada hari …………… tanggal …………2009 telah dilaksanakan asesmen lapangan untuk akreditasi Program Studi ………….., Jurusan ………………, Fakultas ………,  Universitas/Institut/Sekolah Tinggi/Politeknik/Akademi *)………………………………..</t>
  </si>
  <si>
    <t>Dari kegiatan tersebut diperoleh informasi butir-butir borang yang sesuai/tidak sesuai dengan kenyataan, dengan penjelasan sebagai tercantum didalam daftar sebagai berikut:</t>
  </si>
  <si>
    <t>FORMAT 5. BERITA  ACARA ASESMEN LAPANGAN  FAKULTAS</t>
  </si>
  <si>
    <t>Informasi dari Borang Unit Pengelola Program Studi (Fakultas)</t>
  </si>
  <si>
    <t>Informasi dari Borang Unit Pengelola Program Studi (Fakultas) Setelah Diverifikasi Melalui Wawancara dan Observasi</t>
  </si>
  <si>
    <t>Berita acara visitasi ini ditandatangani oleh Asesor dan Pimpinan Fakultas Setelah isi tabel tersebut di atas diperiksa  dan disetujui oleh Pimpinan Fakultas atau yang ditugaskan.</t>
  </si>
  <si>
    <t>Berita acara visitasi ini ditandatangani oleh Asesor dan Ketua Program Studi. Setelah isi tabel tersebut di atas diperiksa  dan disetujui oleh Ketua Program Studi.</t>
  </si>
  <si>
    <t>Berdasarkan hasil asesmen lapangan, penilaian untuk setiap butir, dasar penilaian, dan rekomendasi pembinaan disajikan pada table berikut.</t>
  </si>
  <si>
    <t>Berdasarkan hasil asesmen lapangan, penilaian untuk setiap butir, dasar penilaian, dan rekomendasi pembinaan disajikan pada tabel berikut.</t>
  </si>
  <si>
    <t>Catatan: *skor 0 - 4</t>
  </si>
  <si>
    <t>FORMAT 7. LAPORAN PENILAIAN AKHIR EVALUASI DIRI PROGRAM STUDI</t>
  </si>
  <si>
    <t>Penjelasan/Dasar Penilaian yang Diperoleh dari Borang Unit Pengelola PS (Fakultas), Wawancara, dan Observasi</t>
  </si>
  <si>
    <t>FORMAT 8. LAPORAN PENILAIAN AKHIR BORANG FAKULTAS</t>
  </si>
  <si>
    <t>FORMAT 9. REKOMENDASI PEMBINAAN AKREDITASI PROGRAM STUDI SARJANA</t>
  </si>
  <si>
    <t>Berdasarkan hasil asesmen lapangan, penilaian untuk setiap butir, dasar penilaian, memberikan rekomendasi pembinaan program studi tersebut di atas sebagai berikut.</t>
  </si>
  <si>
    <t>Informasi dari Laporan Evaluasi Diri</t>
  </si>
  <si>
    <t>Catatan: *Nilai skala 1 - 4</t>
  </si>
  <si>
    <t>2. …</t>
  </si>
  <si>
    <t>: Universitas X</t>
  </si>
  <si>
    <t>: FMIPA</t>
  </si>
  <si>
    <t>: Sistem Informasi</t>
  </si>
  <si>
    <t>: I G. P. Purnaba</t>
  </si>
  <si>
    <t>: 16 Juni 2010</t>
  </si>
  <si>
    <t>Jakarta, 15 Juni 2010</t>
  </si>
  <si>
    <t>Nama Asesor : Dr. I G. P. Purnaba, DEA</t>
  </si>
  <si>
    <t>1. Dr. I G. P. Purnaba, DEA</t>
  </si>
  <si>
    <t>Nama Asr-1: Dr. I G.P. Purnaba, DEA</t>
  </si>
  <si>
    <t>Nama Asr-2: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</si>
</sst>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1" x14ac:knownFonts="1">
    <font>
      <sz val="11"/>
      <color theme="1"/>
      <name val="Calibri"/>
      <family val="2"/>
      <scheme val="minor"/>
    </font>
    <font>
      <sz val="12"/>
      <color indexed="8"/>
      <name val="Arial"/>
      <family val="2"/>
    </font>
    <font>
      <b/>
      <u/>
      <sz val="12"/>
      <color indexed="8"/>
      <name val="Arial"/>
      <family val="2"/>
    </font>
    <font>
      <sz val="10"/>
      <color indexed="8"/>
      <name val="Arial"/>
      <family val="2"/>
    </font>
    <font>
      <i/>
      <sz val="10"/>
      <color indexed="8"/>
      <name val="Arial"/>
      <family val="2"/>
    </font>
    <font>
      <sz val="12"/>
      <color indexed="8"/>
      <name val="Arial Narrow"/>
      <family val="2"/>
    </font>
    <font>
      <i/>
      <sz val="12"/>
      <color indexed="8"/>
      <name val="Arial Narrow"/>
      <family val="2"/>
    </font>
    <font>
      <vertAlign val="subscript"/>
      <sz val="10"/>
      <color indexed="8"/>
      <name val="Arial"/>
      <family val="2"/>
    </font>
    <font>
      <sz val="10"/>
      <color indexed="30"/>
      <name val="Arial"/>
      <family val="2"/>
    </font>
    <font>
      <sz val="10"/>
      <color indexed="10"/>
      <name val="Arial"/>
      <family val="2"/>
    </font>
    <font>
      <sz val="10"/>
      <color indexed="8"/>
      <name val="Symbol"/>
      <family val="1"/>
      <charset val="2"/>
    </font>
    <font>
      <i/>
      <sz val="12"/>
      <color indexed="8"/>
      <name val="Arial"/>
      <family val="2"/>
    </font>
    <font>
      <b/>
      <sz val="11"/>
      <color theme="1"/>
      <name val="Calibri"/>
      <family val="2"/>
      <scheme val="minor"/>
    </font>
    <font>
      <sz val="11"/>
      <color rgb="FFFF0000"/>
      <name val="Calibri"/>
      <family val="2"/>
      <scheme val="minor"/>
    </font>
    <font>
      <sz val="12"/>
      <color theme="1"/>
      <name val="Arial"/>
      <family val="2"/>
    </font>
    <font>
      <sz val="12"/>
      <color rgb="FF000000"/>
      <name val="Arial"/>
      <family val="2"/>
    </font>
    <font>
      <sz val="10"/>
      <color theme="1"/>
      <name val="Arial"/>
      <family val="2"/>
    </font>
    <font>
      <b/>
      <sz val="12"/>
      <color rgb="FF000000"/>
      <name val="Arial"/>
      <family val="2"/>
    </font>
    <font>
      <b/>
      <sz val="12"/>
      <color theme="1"/>
      <name val="Arial"/>
      <family val="2"/>
    </font>
    <font>
      <sz val="11"/>
      <color rgb="FF000000"/>
      <name val="Calibri"/>
      <family val="2"/>
      <scheme val="minor"/>
    </font>
    <font>
      <sz val="11"/>
      <color rgb="FF0D0D0D"/>
      <name val="Arial"/>
      <family val="2"/>
    </font>
    <font>
      <b/>
      <sz val="12"/>
      <color rgb="FF0D0D0D"/>
      <name val="Calibri"/>
      <family val="2"/>
    </font>
    <font>
      <b/>
      <sz val="10"/>
      <color theme="1"/>
      <name val="Arial"/>
      <family val="2"/>
    </font>
    <font>
      <b/>
      <sz val="14"/>
      <color theme="1"/>
      <name val="Calibri"/>
      <family val="2"/>
      <scheme val="minor"/>
    </font>
    <font>
      <sz val="11"/>
      <color rgb="FF000000"/>
      <name val="Arial"/>
      <family val="2"/>
    </font>
    <font>
      <sz val="14"/>
      <color theme="1"/>
      <name val="Calibri"/>
      <family val="2"/>
      <scheme val="minor"/>
    </font>
    <font>
      <u/>
      <sz val="14"/>
      <color theme="1"/>
      <name val="Calibri"/>
      <family val="2"/>
      <scheme val="minor"/>
    </font>
    <font>
      <b/>
      <sz val="16"/>
      <color theme="1"/>
      <name val="Arial"/>
      <family val="2"/>
    </font>
    <font>
      <sz val="16"/>
      <color theme="1"/>
      <name val="Calibri"/>
      <family val="2"/>
      <scheme val="minor"/>
    </font>
    <font>
      <sz val="16"/>
      <color theme="1"/>
      <name val="Arial"/>
      <family val="2"/>
    </font>
    <font>
      <u/>
      <sz val="12"/>
      <color rgb="FF000000"/>
      <name val="Arial"/>
      <family val="2"/>
    </font>
    <font>
      <b/>
      <sz val="9"/>
      <color rgb="FF000000"/>
      <name val="Arial"/>
      <family val="2"/>
    </font>
    <font>
      <b/>
      <sz val="14"/>
      <color theme="1"/>
      <name val="Arial"/>
      <family val="2"/>
    </font>
    <font>
      <sz val="14"/>
      <color theme="1"/>
      <name val="Arial"/>
      <family val="2"/>
    </font>
    <font>
      <sz val="10"/>
      <color rgb="FF000000"/>
      <name val="Arial"/>
      <family val="2"/>
    </font>
    <font>
      <u/>
      <sz val="11"/>
      <color theme="1"/>
      <name val="Calibri"/>
      <family val="2"/>
      <scheme val="minor"/>
    </font>
    <font>
      <sz val="11"/>
      <color theme="1"/>
      <name val="Arial"/>
      <family val="2"/>
    </font>
    <font>
      <b/>
      <sz val="11"/>
      <color rgb="FFFF0000"/>
      <name val="Calibri"/>
      <family val="2"/>
      <scheme val="minor"/>
    </font>
    <font>
      <b/>
      <sz val="10"/>
      <color rgb="FFFF0000"/>
      <name val="Arial"/>
      <family val="2"/>
    </font>
    <font>
      <sz val="10"/>
      <color rgb="FFFF0000"/>
      <name val="Arial"/>
      <family val="2"/>
    </font>
    <font>
      <sz val="11"/>
      <name val="Calibri"/>
      <family val="2"/>
      <scheme val="minor"/>
    </font>
    <font>
      <sz val="10"/>
      <color rgb="FF0D0D0D"/>
      <name val="Arial"/>
      <family val="2"/>
    </font>
    <font>
      <b/>
      <sz val="12"/>
      <color rgb="FFFF0000"/>
      <name val="Arial"/>
      <family val="2"/>
    </font>
    <font>
      <b/>
      <sz val="11"/>
      <color rgb="FF000000"/>
      <name val="Arial"/>
      <family val="2"/>
    </font>
    <font>
      <b/>
      <sz val="12"/>
      <color theme="1"/>
      <name val="Arial Narrow"/>
      <family val="2"/>
    </font>
    <font>
      <sz val="12"/>
      <color theme="1"/>
      <name val="Arial Narrow"/>
      <family val="2"/>
    </font>
    <font>
      <sz val="10"/>
      <color theme="1"/>
      <name val="Arial Narrow"/>
      <family val="2"/>
    </font>
    <font>
      <sz val="11"/>
      <color rgb="FF000000"/>
      <name val="Arial Narrow"/>
      <family val="2"/>
    </font>
    <font>
      <b/>
      <sz val="20"/>
      <color rgb="FF002060"/>
      <name val="Calibri"/>
      <family val="2"/>
      <scheme val="minor"/>
    </font>
    <font>
      <sz val="12"/>
      <color rgb="FF0D0D0D"/>
      <name val="Arial"/>
      <family val="2"/>
    </font>
    <font>
      <sz val="12"/>
      <color theme="1"/>
      <name val="Calibri"/>
      <family val="2"/>
      <scheme val="minor"/>
    </font>
  </fonts>
  <fills count="8">
    <fill>
      <patternFill patternType="none"/>
    </fill>
    <fill>
      <patternFill patternType="gray125"/>
    </fill>
    <fill>
      <patternFill patternType="solid">
        <fgColor rgb="FF00B0F0"/>
        <bgColor indexed="64"/>
      </patternFill>
    </fill>
    <fill>
      <patternFill patternType="solid">
        <fgColor rgb="FFFFFF0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rgb="FF92D050"/>
        <bgColor indexed="64"/>
      </patternFill>
    </fill>
    <fill>
      <patternFill patternType="darkUp">
        <bgColor rgb="FFB4B4B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1">
    <xf numFmtId="0" fontId="0" fillId="0" borderId="0"/>
  </cellStyleXfs>
  <cellXfs count="640">
    <xf numFmtId="0" fontId="0" fillId="0" borderId="0" xfId="0"/>
    <xf numFmtId="0" fontId="14" fillId="0" borderId="0" xfId="0" applyFont="1" applyAlignment="1">
      <alignment horizontal="justify"/>
    </xf>
    <xf numFmtId="0" fontId="15" fillId="0" borderId="0" xfId="0" applyFont="1" applyAlignment="1">
      <alignment horizontal="justify"/>
    </xf>
    <xf numFmtId="0" fontId="15" fillId="0" borderId="0" xfId="0" applyFont="1" applyAlignment="1">
      <alignment horizontal="justify" vertical="top" wrapText="1"/>
    </xf>
    <xf numFmtId="0" fontId="0" fillId="0" borderId="0" xfId="0" applyAlignment="1">
      <alignment horizontal="center"/>
    </xf>
    <xf numFmtId="0" fontId="15" fillId="0" borderId="0" xfId="0" applyFont="1" applyAlignment="1">
      <alignment horizontal="center" vertical="top" wrapText="1"/>
    </xf>
    <xf numFmtId="0" fontId="15" fillId="0" borderId="0" xfId="0" applyFont="1" applyAlignment="1">
      <alignment horizontal="center"/>
    </xf>
    <xf numFmtId="0" fontId="0" fillId="0" borderId="0" xfId="0" applyAlignment="1">
      <alignment wrapText="1"/>
    </xf>
    <xf numFmtId="0" fontId="0" fillId="0" borderId="0" xfId="0" applyAlignment="1">
      <alignment horizontal="center" vertical="center"/>
    </xf>
    <xf numFmtId="0" fontId="15" fillId="0" borderId="0" xfId="0" applyFont="1" applyAlignment="1">
      <alignment horizontal="center" vertical="center" wrapText="1"/>
    </xf>
    <xf numFmtId="0" fontId="0" fillId="0" borderId="0" xfId="0" applyAlignment="1">
      <alignment horizontal="center" vertical="center" wrapText="1"/>
    </xf>
    <xf numFmtId="0" fontId="15" fillId="0" borderId="0" xfId="0" applyFont="1" applyAlignment="1">
      <alignment horizontal="center" vertical="top" wrapText="1"/>
    </xf>
    <xf numFmtId="0" fontId="15" fillId="0" borderId="0" xfId="0" applyFont="1" applyBorder="1" applyAlignment="1">
      <alignment vertical="top" wrapText="1"/>
    </xf>
    <xf numFmtId="0" fontId="0" fillId="0" borderId="0" xfId="0" applyBorder="1" applyAlignment="1">
      <alignment horizontal="center"/>
    </xf>
    <xf numFmtId="0" fontId="0" fillId="0" borderId="0" xfId="0" applyBorder="1"/>
    <xf numFmtId="0" fontId="0" fillId="0" borderId="0" xfId="0" applyBorder="1" applyAlignment="1">
      <alignment horizontal="center" vertical="center"/>
    </xf>
    <xf numFmtId="0" fontId="16" fillId="0" borderId="0" xfId="0" applyFont="1" applyBorder="1" applyAlignment="1">
      <alignment horizontal="center" vertical="top" wrapText="1"/>
    </xf>
    <xf numFmtId="0" fontId="0" fillId="0" borderId="0" xfId="0" applyAlignment="1"/>
    <xf numFmtId="0" fontId="15" fillId="0" borderId="0" xfId="0" applyFont="1" applyAlignment="1">
      <alignment vertical="top" wrapText="1"/>
    </xf>
    <xf numFmtId="0" fontId="15" fillId="0" borderId="0" xfId="0" applyFont="1" applyAlignment="1">
      <alignment vertical="top" wrapText="1"/>
    </xf>
    <xf numFmtId="0" fontId="15" fillId="0" borderId="0" xfId="0" applyFont="1" applyAlignment="1">
      <alignment horizontal="left"/>
    </xf>
    <xf numFmtId="0" fontId="17" fillId="0" borderId="0" xfId="0" applyFont="1" applyBorder="1" applyAlignment="1">
      <alignment vertical="top" wrapText="1"/>
    </xf>
    <xf numFmtId="0" fontId="14" fillId="0" borderId="0" xfId="0" applyFont="1" applyAlignment="1">
      <alignment horizontal="center"/>
    </xf>
    <xf numFmtId="0" fontId="15" fillId="0" borderId="0" xfId="0" applyFont="1" applyBorder="1" applyAlignment="1">
      <alignment horizontal="center" vertical="top" wrapText="1"/>
    </xf>
    <xf numFmtId="0" fontId="15" fillId="0" borderId="0" xfId="0" applyFont="1" applyBorder="1" applyAlignment="1">
      <alignment horizontal="center" vertical="center" wrapText="1"/>
    </xf>
    <xf numFmtId="0" fontId="0" fillId="0" borderId="0" xfId="0"/>
    <xf numFmtId="0" fontId="15" fillId="0" borderId="0" xfId="0" applyFont="1" applyBorder="1" applyAlignment="1">
      <alignment horizontal="center"/>
    </xf>
    <xf numFmtId="0" fontId="0" fillId="0" borderId="0" xfId="0" applyAlignment="1">
      <alignment horizontal="left" vertical="center"/>
    </xf>
    <xf numFmtId="0" fontId="16" fillId="0" borderId="0" xfId="0" applyFont="1" applyBorder="1" applyAlignment="1">
      <alignment horizontal="left" vertical="center" wrapText="1"/>
    </xf>
    <xf numFmtId="0" fontId="0" fillId="0" borderId="0" xfId="0" applyBorder="1" applyAlignment="1">
      <alignment horizontal="left" vertical="center"/>
    </xf>
    <xf numFmtId="0" fontId="15" fillId="0" borderId="0" xfId="0" applyFont="1" applyBorder="1" applyAlignment="1">
      <alignment vertical="center" wrapText="1"/>
    </xf>
    <xf numFmtId="0" fontId="0" fillId="0" borderId="0" xfId="0" applyAlignment="1"/>
    <xf numFmtId="0" fontId="18" fillId="0" borderId="0" xfId="0" applyFont="1" applyAlignment="1">
      <alignment horizontal="left"/>
    </xf>
    <xf numFmtId="0" fontId="0" fillId="0" borderId="0" xfId="0" applyAlignment="1">
      <alignment vertical="top" wrapText="1"/>
    </xf>
    <xf numFmtId="0" fontId="15" fillId="0" borderId="0" xfId="0" applyFont="1"/>
    <xf numFmtId="0" fontId="19" fillId="0" borderId="0" xfId="0" applyFont="1" applyAlignment="1">
      <alignment horizontal="justify"/>
    </xf>
    <xf numFmtId="0" fontId="20" fillId="0" borderId="0" xfId="0" applyFont="1" applyAlignment="1">
      <alignment horizontal="left" indent="11"/>
    </xf>
    <xf numFmtId="0" fontId="20" fillId="0" borderId="0" xfId="0" applyFont="1" applyAlignment="1">
      <alignment horizontal="left"/>
    </xf>
    <xf numFmtId="0" fontId="21" fillId="0" borderId="0" xfId="0" applyFont="1" applyAlignment="1">
      <alignment horizontal="center"/>
    </xf>
    <xf numFmtId="0" fontId="15" fillId="0" borderId="0" xfId="0" applyFont="1" applyAlignment="1">
      <alignment vertical="center" wrapText="1"/>
    </xf>
    <xf numFmtId="0" fontId="18" fillId="0" borderId="0" xfId="0" applyFont="1" applyAlignment="1"/>
    <xf numFmtId="0" fontId="22" fillId="0" borderId="0" xfId="0" applyFont="1" applyBorder="1" applyAlignment="1">
      <alignment horizontal="center" vertical="center" wrapText="1"/>
    </xf>
    <xf numFmtId="0" fontId="0" fillId="0" borderId="0" xfId="0" applyAlignment="1">
      <alignment vertical="center"/>
    </xf>
    <xf numFmtId="0" fontId="0" fillId="0" borderId="1" xfId="0" applyBorder="1" applyAlignment="1">
      <alignment horizontal="center" vertical="center"/>
    </xf>
    <xf numFmtId="0" fontId="0" fillId="0" borderId="1" xfId="0" applyBorder="1" applyAlignment="1">
      <alignment horizontal="center"/>
    </xf>
    <xf numFmtId="0" fontId="0" fillId="0" borderId="1" xfId="0" applyBorder="1"/>
    <xf numFmtId="0" fontId="15" fillId="0" borderId="0" xfId="0" applyFont="1" applyAlignment="1">
      <alignment horizontal="center" vertical="center"/>
    </xf>
    <xf numFmtId="0" fontId="12" fillId="0" borderId="1" xfId="0" applyFont="1" applyBorder="1" applyAlignment="1">
      <alignment horizontal="center"/>
    </xf>
    <xf numFmtId="0" fontId="0" fillId="0" borderId="1" xfId="0" applyFill="1" applyBorder="1" applyAlignment="1">
      <alignment horizontal="center"/>
    </xf>
    <xf numFmtId="0" fontId="23" fillId="0" borderId="1" xfId="0" applyFont="1" applyBorder="1" applyAlignment="1">
      <alignment horizontal="center"/>
    </xf>
    <xf numFmtId="0" fontId="0" fillId="0" borderId="0" xfId="0" applyBorder="1" applyAlignment="1">
      <alignment vertical="center"/>
    </xf>
    <xf numFmtId="0" fontId="0" fillId="0" borderId="1" xfId="0" applyBorder="1" applyAlignment="1">
      <alignment horizontal="center"/>
    </xf>
    <xf numFmtId="0" fontId="0" fillId="0" borderId="1" xfId="0" applyBorder="1" applyAlignment="1">
      <alignment horizontal="center" vertical="center"/>
    </xf>
    <xf numFmtId="0" fontId="15" fillId="0" borderId="0" xfId="0" applyFont="1" applyAlignment="1">
      <alignment vertical="top" wrapText="1"/>
    </xf>
    <xf numFmtId="0" fontId="0" fillId="0" borderId="0" xfId="0" applyAlignment="1"/>
    <xf numFmtId="0" fontId="15" fillId="0" borderId="0" xfId="0" applyFont="1" applyAlignment="1">
      <alignment horizontal="left" vertical="top" wrapText="1"/>
    </xf>
    <xf numFmtId="0" fontId="0" fillId="0" borderId="1" xfId="0" applyBorder="1" applyAlignment="1">
      <alignment vertical="center"/>
    </xf>
    <xf numFmtId="0" fontId="14" fillId="0" borderId="0" xfId="0" applyFont="1"/>
    <xf numFmtId="0" fontId="15" fillId="0" borderId="0" xfId="0" applyFont="1" applyAlignment="1"/>
    <xf numFmtId="0" fontId="24" fillId="0" borderId="0" xfId="0" applyFont="1" applyAlignment="1">
      <alignment horizontal="left"/>
    </xf>
    <xf numFmtId="0" fontId="0" fillId="0" borderId="0" xfId="0" applyFill="1" applyBorder="1" applyAlignment="1">
      <alignment horizontal="center"/>
    </xf>
    <xf numFmtId="0" fontId="0" fillId="0" borderId="1" xfId="0" applyBorder="1" applyAlignment="1">
      <alignment horizontal="center"/>
    </xf>
    <xf numFmtId="0" fontId="25" fillId="0" borderId="0" xfId="0" applyFont="1" applyBorder="1"/>
    <xf numFmtId="0" fontId="12" fillId="0" borderId="0" xfId="0" applyFont="1" applyBorder="1"/>
    <xf numFmtId="2" fontId="0" fillId="0" borderId="1" xfId="0" applyNumberFormat="1" applyBorder="1" applyAlignment="1">
      <alignment horizontal="center" vertical="center"/>
    </xf>
    <xf numFmtId="2" fontId="0" fillId="0" borderId="0" xfId="0" applyNumberFormat="1" applyAlignment="1">
      <alignment horizontal="center"/>
    </xf>
    <xf numFmtId="2" fontId="0" fillId="0" borderId="1" xfId="0" applyNumberFormat="1" applyBorder="1" applyAlignment="1">
      <alignment horizontal="center"/>
    </xf>
    <xf numFmtId="2" fontId="0" fillId="0" borderId="2" xfId="0" applyNumberFormat="1" applyBorder="1" applyAlignment="1">
      <alignment horizontal="center"/>
    </xf>
    <xf numFmtId="2" fontId="0" fillId="0" borderId="3" xfId="0" applyNumberFormat="1" applyBorder="1" applyAlignment="1">
      <alignment horizontal="center"/>
    </xf>
    <xf numFmtId="2" fontId="0" fillId="0" borderId="4" xfId="0" applyNumberFormat="1" applyBorder="1" applyAlignment="1">
      <alignment horizontal="center"/>
    </xf>
    <xf numFmtId="2" fontId="12" fillId="0" borderId="1" xfId="0" applyNumberFormat="1" applyFont="1" applyBorder="1" applyAlignment="1">
      <alignment horizontal="center" vertical="center"/>
    </xf>
    <xf numFmtId="2" fontId="12" fillId="0" borderId="1" xfId="0" applyNumberFormat="1" applyFont="1" applyBorder="1" applyAlignment="1">
      <alignment horizontal="center"/>
    </xf>
    <xf numFmtId="2" fontId="12" fillId="0" borderId="2" xfId="0" applyNumberFormat="1" applyFont="1" applyBorder="1" applyAlignment="1">
      <alignment horizontal="center"/>
    </xf>
    <xf numFmtId="2" fontId="0" fillId="0" borderId="1" xfId="0" applyNumberFormat="1" applyBorder="1"/>
    <xf numFmtId="2" fontId="12" fillId="0" borderId="1" xfId="0" applyNumberFormat="1" applyFont="1" applyBorder="1"/>
    <xf numFmtId="0" fontId="0" fillId="2" borderId="5" xfId="0" applyFill="1" applyBorder="1" applyProtection="1"/>
    <xf numFmtId="0" fontId="0" fillId="3" borderId="6" xfId="0" applyFill="1" applyBorder="1" applyProtection="1">
      <protection locked="0"/>
    </xf>
    <xf numFmtId="0" fontId="0" fillId="0" borderId="0" xfId="0" applyProtection="1"/>
    <xf numFmtId="0" fontId="12" fillId="0" borderId="0" xfId="0" applyFont="1" applyProtection="1"/>
    <xf numFmtId="0" fontId="0" fillId="0" borderId="0" xfId="0" applyBorder="1" applyProtection="1"/>
    <xf numFmtId="0" fontId="13" fillId="0" borderId="0" xfId="0" applyFont="1" applyBorder="1" applyProtection="1"/>
    <xf numFmtId="0" fontId="0" fillId="0" borderId="0" xfId="0" applyAlignment="1" applyProtection="1">
      <alignment horizontal="center"/>
    </xf>
    <xf numFmtId="0" fontId="0" fillId="0" borderId="0" xfId="0" applyBorder="1" applyAlignment="1" applyProtection="1">
      <alignment horizontal="center"/>
    </xf>
    <xf numFmtId="0" fontId="26" fillId="0" borderId="0" xfId="0" applyFont="1" applyAlignment="1" applyProtection="1">
      <alignment horizontal="center"/>
    </xf>
    <xf numFmtId="0" fontId="0" fillId="0" borderId="0" xfId="0" applyFill="1" applyBorder="1" applyProtection="1"/>
    <xf numFmtId="0" fontId="0" fillId="0" borderId="0" xfId="0" applyFill="1" applyBorder="1" applyAlignment="1" applyProtection="1"/>
    <xf numFmtId="0" fontId="0" fillId="0" borderId="0" xfId="0" applyAlignment="1" applyProtection="1">
      <alignment wrapText="1"/>
    </xf>
    <xf numFmtId="0" fontId="0" fillId="0" borderId="0" xfId="0" applyFill="1" applyProtection="1"/>
    <xf numFmtId="0" fontId="0" fillId="0" borderId="0" xfId="0" applyAlignment="1"/>
    <xf numFmtId="0" fontId="27" fillId="0" borderId="0" xfId="0" applyFont="1" applyAlignment="1" applyProtection="1">
      <alignment horizontal="left"/>
      <protection locked="0"/>
    </xf>
    <xf numFmtId="0" fontId="28" fillId="0" borderId="0" xfId="0" applyFont="1" applyAlignment="1" applyProtection="1">
      <alignment horizontal="center"/>
      <protection locked="0"/>
    </xf>
    <xf numFmtId="0" fontId="28" fillId="0" borderId="0" xfId="0" applyFont="1" applyAlignment="1" applyProtection="1">
      <protection locked="0"/>
    </xf>
    <xf numFmtId="0" fontId="28" fillId="0" borderId="0" xfId="0" applyFont="1" applyProtection="1">
      <protection locked="0"/>
    </xf>
    <xf numFmtId="0" fontId="28" fillId="0" borderId="0" xfId="0" applyFont="1" applyAlignment="1" applyProtection="1">
      <alignment horizontal="center" vertical="center"/>
      <protection locked="0"/>
    </xf>
    <xf numFmtId="0" fontId="0" fillId="0" borderId="0" xfId="0" applyProtection="1">
      <protection locked="0"/>
    </xf>
    <xf numFmtId="0" fontId="29" fillId="0" borderId="0" xfId="0" applyFont="1" applyAlignment="1" applyProtection="1">
      <alignment horizontal="center"/>
      <protection locked="0"/>
    </xf>
    <xf numFmtId="0" fontId="30" fillId="0" borderId="0" xfId="0" applyFont="1" applyAlignment="1" applyProtection="1">
      <alignment horizontal="left"/>
      <protection locked="0"/>
    </xf>
    <xf numFmtId="0" fontId="0" fillId="0" borderId="0" xfId="0" applyAlignment="1" applyProtection="1">
      <alignment horizontal="center"/>
      <protection locked="0"/>
    </xf>
    <xf numFmtId="0" fontId="0" fillId="0" borderId="0" xfId="0" applyAlignment="1" applyProtection="1">
      <protection locked="0"/>
    </xf>
    <xf numFmtId="0" fontId="0" fillId="0" borderId="0" xfId="0" applyAlignment="1" applyProtection="1">
      <alignment horizontal="center" vertical="center"/>
      <protection locked="0"/>
    </xf>
    <xf numFmtId="0" fontId="15" fillId="0" borderId="0" xfId="0" applyFont="1" applyAlignment="1" applyProtection="1">
      <alignment horizontal="center"/>
      <protection locked="0"/>
    </xf>
    <xf numFmtId="0" fontId="15"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15" fillId="0" borderId="0" xfId="0" applyFont="1" applyAlignment="1" applyProtection="1">
      <alignment horizontal="left"/>
      <protection locked="0"/>
    </xf>
    <xf numFmtId="0" fontId="15" fillId="0" borderId="0" xfId="0" applyFont="1" applyAlignment="1" applyProtection="1">
      <alignment horizontal="center" vertical="top" wrapText="1"/>
      <protection locked="0"/>
    </xf>
    <xf numFmtId="0" fontId="15" fillId="0" borderId="0" xfId="0" applyFont="1" applyAlignment="1" applyProtection="1">
      <alignment vertical="center" wrapText="1"/>
      <protection locked="0"/>
    </xf>
    <xf numFmtId="0" fontId="31" fillId="0" borderId="1" xfId="0" applyFont="1" applyFill="1" applyBorder="1" applyAlignment="1" applyProtection="1">
      <alignment horizontal="center" vertical="center" wrapText="1"/>
    </xf>
    <xf numFmtId="2" fontId="0" fillId="0" borderId="1" xfId="0" applyNumberFormat="1" applyBorder="1" applyAlignment="1" applyProtection="1">
      <alignment horizontal="center" vertical="center"/>
    </xf>
    <xf numFmtId="0" fontId="32" fillId="0" borderId="0" xfId="0" applyFont="1" applyAlignment="1" applyProtection="1">
      <alignment horizontal="left"/>
      <protection locked="0"/>
    </xf>
    <xf numFmtId="0" fontId="14" fillId="0" borderId="0" xfId="0" applyFont="1" applyAlignment="1" applyProtection="1">
      <alignment horizontal="center"/>
      <protection locked="0"/>
    </xf>
    <xf numFmtId="0" fontId="17" fillId="0" borderId="0" xfId="0" applyFont="1" applyAlignment="1" applyProtection="1">
      <alignment horizontal="left"/>
      <protection locked="0"/>
    </xf>
    <xf numFmtId="0" fontId="15" fillId="0" borderId="0" xfId="0" applyFont="1" applyBorder="1" applyAlignment="1" applyProtection="1">
      <alignment horizontal="center" vertical="center" wrapText="1"/>
      <protection locked="0"/>
    </xf>
    <xf numFmtId="0" fontId="0" fillId="0" borderId="0" xfId="0" applyBorder="1" applyAlignment="1" applyProtection="1">
      <alignment horizontal="center" vertical="center"/>
      <protection locked="0"/>
    </xf>
    <xf numFmtId="0" fontId="15" fillId="0" borderId="0" xfId="0" applyFont="1" applyAlignment="1" applyProtection="1">
      <alignment vertical="top" wrapText="1"/>
      <protection locked="0"/>
    </xf>
    <xf numFmtId="0" fontId="15" fillId="0" borderId="0" xfId="0" applyFont="1" applyBorder="1" applyAlignment="1" applyProtection="1">
      <alignment horizontal="center" wrapText="1"/>
      <protection locked="0"/>
    </xf>
    <xf numFmtId="0" fontId="0" fillId="0" borderId="1" xfId="0" applyBorder="1" applyAlignment="1" applyProtection="1">
      <alignment horizontal="center" vertical="center"/>
    </xf>
    <xf numFmtId="0" fontId="18" fillId="0" borderId="0" xfId="0" applyFont="1" applyAlignment="1" applyProtection="1">
      <protection locked="0"/>
    </xf>
    <xf numFmtId="0" fontId="18" fillId="0" borderId="0" xfId="0" applyFont="1" applyAlignment="1" applyProtection="1">
      <alignment horizontal="center" vertical="center"/>
      <protection locked="0"/>
    </xf>
    <xf numFmtId="0" fontId="0" fillId="0" borderId="0" xfId="0" applyAlignment="1" applyProtection="1">
      <alignment horizontal="left" vertical="center"/>
      <protection locked="0"/>
    </xf>
    <xf numFmtId="0" fontId="15" fillId="0" borderId="0" xfId="0" applyFont="1" applyAlignment="1" applyProtection="1">
      <alignment horizontal="left" wrapText="1"/>
      <protection locked="0"/>
    </xf>
    <xf numFmtId="0" fontId="0" fillId="0" borderId="0" xfId="0" applyBorder="1" applyProtection="1">
      <protection locked="0"/>
    </xf>
    <xf numFmtId="0" fontId="0" fillId="0" borderId="1" xfId="0" applyBorder="1" applyAlignment="1" applyProtection="1">
      <alignment horizontal="center" vertical="top" wrapText="1"/>
    </xf>
    <xf numFmtId="0" fontId="0" fillId="0" borderId="0" xfId="0" applyFont="1" applyAlignment="1" applyProtection="1">
      <alignment horizontal="center" vertical="center"/>
    </xf>
    <xf numFmtId="0" fontId="16" fillId="0" borderId="1" xfId="0" applyFont="1" applyBorder="1"/>
    <xf numFmtId="0" fontId="0" fillId="0" borderId="0" xfId="0" applyFont="1" applyBorder="1" applyAlignment="1" applyProtection="1">
      <alignment horizontal="center" vertical="center" wrapText="1"/>
      <protection locked="0"/>
    </xf>
    <xf numFmtId="0" fontId="16" fillId="0" borderId="7" xfId="0" applyFont="1" applyBorder="1" applyAlignment="1" applyProtection="1">
      <alignment horizontal="center" vertical="center" wrapText="1"/>
      <protection locked="0"/>
    </xf>
    <xf numFmtId="0" fontId="0" fillId="0" borderId="0" xfId="0" applyAlignment="1" applyProtection="1">
      <alignment horizontal="center" vertical="center"/>
    </xf>
    <xf numFmtId="0" fontId="0" fillId="0" borderId="0" xfId="0" applyAlignment="1" applyProtection="1">
      <alignment horizontal="center" vertical="center" wrapText="1"/>
    </xf>
    <xf numFmtId="0" fontId="33" fillId="0" borderId="0" xfId="0" applyFont="1" applyAlignment="1">
      <alignment horizontal="center"/>
    </xf>
    <xf numFmtId="0" fontId="33" fillId="0" borderId="0" xfId="0" applyFont="1"/>
    <xf numFmtId="0" fontId="33" fillId="0" borderId="0" xfId="0" applyFont="1" applyAlignment="1" applyProtection="1">
      <alignment horizontal="center"/>
    </xf>
    <xf numFmtId="0" fontId="14" fillId="0" borderId="0" xfId="0" applyFont="1" applyProtection="1"/>
    <xf numFmtId="0" fontId="33" fillId="0" borderId="0" xfId="0" applyFont="1" applyProtection="1"/>
    <xf numFmtId="0" fontId="14" fillId="0" borderId="0" xfId="0" applyFont="1" applyAlignment="1">
      <alignment horizontal="left"/>
    </xf>
    <xf numFmtId="0" fontId="0" fillId="0" borderId="0" xfId="0" applyBorder="1" applyAlignment="1">
      <alignment horizontal="center"/>
    </xf>
    <xf numFmtId="0" fontId="23" fillId="4" borderId="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10" xfId="0" applyFont="1" applyFill="1" applyBorder="1" applyAlignment="1" applyProtection="1">
      <alignment horizontal="center" vertical="center" wrapText="1"/>
    </xf>
    <xf numFmtId="0" fontId="16" fillId="0" borderId="0" xfId="0" applyFont="1"/>
    <xf numFmtId="0" fontId="23" fillId="5" borderId="11" xfId="0" applyFont="1" applyFill="1" applyBorder="1" applyAlignment="1" applyProtection="1">
      <alignment horizontal="center" vertical="center" wrapText="1"/>
    </xf>
    <xf numFmtId="0" fontId="16" fillId="0" borderId="1" xfId="0" applyFont="1" applyBorder="1" applyAlignment="1">
      <alignment vertical="top" wrapText="1"/>
    </xf>
    <xf numFmtId="0" fontId="0" fillId="0" borderId="6" xfId="0" applyFill="1" applyBorder="1" applyProtection="1"/>
    <xf numFmtId="0" fontId="0" fillId="3" borderId="12" xfId="0" applyFill="1" applyBorder="1" applyAlignment="1" applyProtection="1">
      <alignment horizontal="center" vertical="center"/>
      <protection locked="0"/>
    </xf>
    <xf numFmtId="0" fontId="0" fillId="2" borderId="5" xfId="0" applyFill="1" applyBorder="1" applyAlignment="1" applyProtection="1">
      <alignment horizontal="center"/>
    </xf>
    <xf numFmtId="0" fontId="0" fillId="2" borderId="5" xfId="0" applyFill="1" applyBorder="1" applyAlignment="1" applyProtection="1">
      <alignment horizontal="center" vertical="center"/>
    </xf>
    <xf numFmtId="0" fontId="34" fillId="0" borderId="1" xfId="0" applyFont="1" applyBorder="1" applyAlignment="1">
      <alignment wrapText="1"/>
    </xf>
    <xf numFmtId="0" fontId="0" fillId="3" borderId="12" xfId="0" applyFill="1" applyBorder="1" applyAlignment="1" applyProtection="1">
      <alignment horizontal="center"/>
      <protection locked="0"/>
    </xf>
    <xf numFmtId="0" fontId="16" fillId="0" borderId="1" xfId="0" applyFont="1" applyBorder="1" applyAlignment="1">
      <alignment wrapText="1"/>
    </xf>
    <xf numFmtId="0" fontId="0" fillId="0" borderId="6" xfId="0" applyFill="1" applyBorder="1" applyAlignment="1" applyProtection="1">
      <alignment horizontal="center"/>
    </xf>
    <xf numFmtId="0" fontId="0" fillId="0" borderId="6" xfId="0" applyFill="1" applyBorder="1" applyAlignment="1" applyProtection="1">
      <alignment horizontal="center" vertical="center"/>
    </xf>
    <xf numFmtId="0" fontId="16" fillId="0" borderId="0" xfId="0" applyFont="1" applyBorder="1" applyAlignment="1">
      <alignment wrapText="1"/>
    </xf>
    <xf numFmtId="0" fontId="0" fillId="0" borderId="13" xfId="0" applyFill="1" applyBorder="1" applyAlignment="1" applyProtection="1">
      <alignment horizontal="center" vertical="center"/>
    </xf>
    <xf numFmtId="0" fontId="16" fillId="3" borderId="11" xfId="0" applyFont="1" applyFill="1" applyBorder="1" applyAlignment="1" applyProtection="1">
      <alignment horizontal="left" vertical="top"/>
      <protection locked="0"/>
    </xf>
    <xf numFmtId="0" fontId="16" fillId="0" borderId="0" xfId="0" applyFont="1" applyAlignment="1" applyProtection="1">
      <alignment horizontal="left" vertical="top"/>
    </xf>
    <xf numFmtId="0" fontId="16" fillId="3" borderId="11" xfId="0" applyFont="1" applyFill="1" applyBorder="1" applyAlignment="1" applyProtection="1">
      <alignment horizontal="left" vertical="top"/>
    </xf>
    <xf numFmtId="0" fontId="16" fillId="0" borderId="0" xfId="0" applyFont="1" applyAlignment="1">
      <alignment horizontal="left" vertical="top"/>
    </xf>
    <xf numFmtId="0" fontId="35" fillId="0" borderId="0" xfId="0" applyFont="1" applyAlignment="1" applyProtection="1">
      <alignment horizontal="center" vertical="center"/>
    </xf>
    <xf numFmtId="0" fontId="12" fillId="0" borderId="0" xfId="0" applyFont="1" applyAlignment="1" applyProtection="1">
      <alignment horizontal="center" vertical="center"/>
    </xf>
    <xf numFmtId="0" fontId="16" fillId="0" borderId="0" xfId="0" applyFont="1" applyBorder="1"/>
    <xf numFmtId="0" fontId="0" fillId="0" borderId="14" xfId="0" applyFill="1" applyBorder="1" applyAlignment="1" applyProtection="1">
      <alignment horizontal="center" vertical="center"/>
    </xf>
    <xf numFmtId="0" fontId="16" fillId="0" borderId="15" xfId="0" applyFont="1" applyBorder="1"/>
    <xf numFmtId="0" fontId="0" fillId="0" borderId="12" xfId="0" applyBorder="1" applyProtection="1"/>
    <xf numFmtId="0" fontId="0" fillId="0" borderId="12" xfId="0" applyBorder="1" applyAlignment="1" applyProtection="1">
      <alignment horizontal="center" vertical="center"/>
    </xf>
    <xf numFmtId="0" fontId="0" fillId="3" borderId="6" xfId="0" applyFill="1" applyBorder="1" applyAlignment="1" applyProtection="1">
      <alignment horizontal="center" vertical="center"/>
      <protection locked="0"/>
    </xf>
    <xf numFmtId="0" fontId="0" fillId="6" borderId="6" xfId="0" applyFill="1" applyBorder="1" applyAlignment="1" applyProtection="1">
      <alignment horizontal="center" vertical="center"/>
    </xf>
    <xf numFmtId="0" fontId="0" fillId="2" borderId="5" xfId="0" applyFill="1" applyBorder="1" applyAlignment="1">
      <alignment horizontal="center" vertical="center"/>
    </xf>
    <xf numFmtId="0" fontId="16" fillId="0" borderId="16" xfId="0" applyFont="1" applyBorder="1" applyAlignment="1">
      <alignment horizontal="center" vertical="center"/>
    </xf>
    <xf numFmtId="0" fontId="0" fillId="0" borderId="12" xfId="0" applyBorder="1" applyAlignment="1">
      <alignment horizontal="center" vertical="center"/>
    </xf>
    <xf numFmtId="0" fontId="16" fillId="0" borderId="1" xfId="0" applyFont="1" applyBorder="1" applyAlignment="1"/>
    <xf numFmtId="0" fontId="16" fillId="0" borderId="1" xfId="0" applyFont="1" applyBorder="1" applyAlignment="1">
      <alignment horizontal="left" vertical="top" wrapText="1"/>
    </xf>
    <xf numFmtId="0" fontId="34" fillId="0" borderId="15" xfId="0" applyFont="1" applyBorder="1"/>
    <xf numFmtId="0" fontId="34" fillId="0" borderId="16" xfId="0" applyFont="1" applyBorder="1" applyAlignment="1">
      <alignment horizontal="center" vertical="center"/>
    </xf>
    <xf numFmtId="0" fontId="34" fillId="0" borderId="1" xfId="0" applyFont="1" applyBorder="1" applyAlignment="1">
      <alignment horizontal="left" vertical="top" wrapText="1"/>
    </xf>
    <xf numFmtId="0" fontId="36" fillId="3" borderId="6" xfId="0" applyFont="1" applyFill="1" applyBorder="1" applyAlignment="1" applyProtection="1">
      <alignment horizontal="center" vertical="center"/>
      <protection locked="0"/>
    </xf>
    <xf numFmtId="0" fontId="36" fillId="0" borderId="12" xfId="0" applyFont="1" applyBorder="1" applyAlignment="1" applyProtection="1">
      <alignment horizontal="center" vertical="center"/>
    </xf>
    <xf numFmtId="0" fontId="36" fillId="6" borderId="6" xfId="0" applyFont="1" applyFill="1" applyBorder="1" applyAlignment="1" applyProtection="1">
      <alignment horizontal="center" vertical="center"/>
    </xf>
    <xf numFmtId="0" fontId="36" fillId="2" borderId="5" xfId="0" applyFont="1" applyFill="1" applyBorder="1" applyAlignment="1" applyProtection="1">
      <alignment horizontal="center" vertical="center"/>
    </xf>
    <xf numFmtId="0" fontId="37" fillId="0" borderId="0" xfId="0" applyFont="1" applyAlignment="1" applyProtection="1">
      <alignment horizontal="left" vertical="top"/>
    </xf>
    <xf numFmtId="0" fontId="16" fillId="0" borderId="1" xfId="0" applyFont="1" applyBorder="1" applyAlignment="1">
      <alignment horizontal="left" vertical="top" wrapText="1"/>
    </xf>
    <xf numFmtId="0" fontId="16" fillId="0" borderId="1" xfId="0" applyFont="1" applyBorder="1" applyAlignment="1">
      <alignment vertical="center" wrapText="1"/>
    </xf>
    <xf numFmtId="0" fontId="16" fillId="0" borderId="15" xfId="0" applyFont="1" applyBorder="1" applyAlignment="1">
      <alignment horizontal="left" vertical="center"/>
    </xf>
    <xf numFmtId="0" fontId="16" fillId="0" borderId="0" xfId="0" applyFont="1" applyBorder="1" applyAlignment="1" applyProtection="1">
      <alignment horizontal="center" vertical="center" wrapText="1"/>
      <protection locked="0"/>
    </xf>
    <xf numFmtId="0" fontId="16" fillId="0" borderId="0" xfId="0" applyFont="1" applyFill="1" applyBorder="1" applyAlignment="1" applyProtection="1">
      <alignment horizontal="left" vertical="top"/>
    </xf>
    <xf numFmtId="0" fontId="36" fillId="3" borderId="12" xfId="0" applyFont="1" applyFill="1" applyBorder="1" applyAlignment="1" applyProtection="1">
      <alignment horizontal="center" vertical="center"/>
      <protection locked="0"/>
    </xf>
    <xf numFmtId="0" fontId="36" fillId="0" borderId="6" xfId="0" applyFont="1" applyBorder="1" applyAlignment="1">
      <alignment vertical="center"/>
    </xf>
    <xf numFmtId="0" fontId="0" fillId="0" borderId="12" xfId="0" applyBorder="1"/>
    <xf numFmtId="0" fontId="16" fillId="0" borderId="15" xfId="0" applyFont="1" applyBorder="1" applyProtection="1"/>
    <xf numFmtId="0" fontId="16" fillId="0" borderId="17" xfId="0" applyFont="1" applyBorder="1" applyProtection="1"/>
    <xf numFmtId="0" fontId="16" fillId="0" borderId="16" xfId="0" applyFont="1" applyBorder="1" applyProtection="1"/>
    <xf numFmtId="0" fontId="16" fillId="0" borderId="1" xfId="0" applyFont="1" applyBorder="1" applyProtection="1"/>
    <xf numFmtId="0" fontId="0" fillId="3" borderId="6" xfId="0" applyFill="1" applyBorder="1" applyAlignment="1" applyProtection="1">
      <alignment horizontal="center"/>
      <protection locked="0"/>
    </xf>
    <xf numFmtId="0" fontId="0" fillId="6" borderId="6" xfId="0" applyFill="1" applyBorder="1" applyAlignment="1" applyProtection="1">
      <alignment horizontal="center"/>
    </xf>
    <xf numFmtId="0" fontId="0" fillId="0" borderId="6" xfId="0" applyBorder="1" applyAlignment="1">
      <alignment horizontal="center" vertical="center"/>
    </xf>
    <xf numFmtId="0" fontId="16" fillId="0" borderId="16" xfId="0" applyFont="1" applyBorder="1" applyAlignment="1" applyProtection="1">
      <alignment horizontal="center" vertical="center" wrapText="1"/>
    </xf>
    <xf numFmtId="0" fontId="16" fillId="0" borderId="0" xfId="0" applyFont="1" applyAlignment="1" applyProtection="1">
      <alignment horizontal="left"/>
    </xf>
    <xf numFmtId="0" fontId="16" fillId="0" borderId="16" xfId="0" applyFont="1" applyFill="1" applyBorder="1" applyAlignment="1" applyProtection="1">
      <alignment horizontal="center" vertical="center"/>
    </xf>
    <xf numFmtId="0" fontId="16" fillId="0" borderId="0" xfId="0" applyFont="1" applyFill="1" applyBorder="1" applyAlignment="1" applyProtection="1">
      <alignment horizontal="left"/>
    </xf>
    <xf numFmtId="0" fontId="16" fillId="0" borderId="16" xfId="0" applyFont="1" applyFill="1" applyBorder="1" applyAlignment="1" applyProtection="1">
      <alignment horizontal="center" vertical="center" wrapText="1"/>
    </xf>
    <xf numFmtId="0" fontId="16" fillId="0" borderId="15" xfId="0" applyFont="1" applyFill="1" applyBorder="1" applyAlignment="1" applyProtection="1">
      <alignment horizontal="left"/>
    </xf>
    <xf numFmtId="0" fontId="16" fillId="0" borderId="17" xfId="0" applyFont="1" applyFill="1" applyBorder="1" applyAlignment="1" applyProtection="1">
      <alignment horizontal="left"/>
    </xf>
    <xf numFmtId="0" fontId="16" fillId="0" borderId="18" xfId="0" applyFont="1" applyFill="1" applyBorder="1" applyAlignment="1" applyProtection="1">
      <alignment horizontal="center" vertical="center"/>
    </xf>
    <xf numFmtId="0" fontId="16" fillId="0" borderId="15" xfId="0" applyFont="1" applyFill="1" applyBorder="1" applyProtection="1"/>
    <xf numFmtId="0" fontId="16" fillId="0" borderId="16" xfId="0" applyFont="1" applyBorder="1" applyAlignment="1" applyProtection="1">
      <alignment horizontal="center" vertical="center"/>
    </xf>
    <xf numFmtId="0" fontId="16" fillId="0" borderId="19" xfId="0" applyFont="1" applyBorder="1" applyAlignment="1" applyProtection="1">
      <alignment horizontal="center" vertical="center"/>
    </xf>
    <xf numFmtId="0" fontId="16" fillId="0" borderId="0" xfId="0" applyFont="1" applyProtection="1"/>
    <xf numFmtId="0" fontId="16" fillId="0" borderId="16" xfId="0" applyFont="1" applyBorder="1" applyAlignment="1" applyProtection="1"/>
    <xf numFmtId="0" fontId="16" fillId="0" borderId="17" xfId="0" applyFont="1" applyBorder="1"/>
    <xf numFmtId="0" fontId="16" fillId="0" borderId="1" xfId="0" applyFont="1" applyBorder="1" applyAlignment="1" applyProtection="1">
      <alignment wrapText="1"/>
    </xf>
    <xf numFmtId="0" fontId="16" fillId="0" borderId="1" xfId="0" applyFont="1" applyBorder="1" applyAlignment="1" applyProtection="1"/>
    <xf numFmtId="0" fontId="16" fillId="0" borderId="20" xfId="0" applyFont="1" applyBorder="1"/>
    <xf numFmtId="0" fontId="16" fillId="0" borderId="21" xfId="0" applyFont="1" applyBorder="1"/>
    <xf numFmtId="0" fontId="16" fillId="0" borderId="1" xfId="0" applyFont="1" applyBorder="1" applyAlignment="1" applyProtection="1">
      <alignment horizontal="left" vertical="top" wrapText="1"/>
    </xf>
    <xf numFmtId="0" fontId="16" fillId="0" borderId="16" xfId="0" applyFont="1" applyFill="1" applyBorder="1" applyAlignment="1">
      <alignment horizontal="center" vertical="center"/>
    </xf>
    <xf numFmtId="0" fontId="16" fillId="0" borderId="22" xfId="0" applyFont="1" applyBorder="1" applyAlignment="1" applyProtection="1">
      <alignment horizontal="left"/>
    </xf>
    <xf numFmtId="0" fontId="16" fillId="0" borderId="23" xfId="0" applyFont="1" applyBorder="1" applyAlignment="1" applyProtection="1">
      <alignment horizontal="left"/>
    </xf>
    <xf numFmtId="0" fontId="16" fillId="0" borderId="16" xfId="0" applyFont="1" applyBorder="1" applyAlignment="1">
      <alignment horizontal="center" vertical="center" wrapText="1"/>
    </xf>
    <xf numFmtId="0" fontId="16" fillId="0" borderId="16" xfId="0" applyFont="1" applyBorder="1" applyAlignment="1" applyProtection="1">
      <alignment vertical="center"/>
    </xf>
    <xf numFmtId="0" fontId="16" fillId="0" borderId="1" xfId="0" applyFont="1" applyBorder="1" applyAlignment="1" applyProtection="1">
      <alignment vertical="center"/>
    </xf>
    <xf numFmtId="0" fontId="22" fillId="0" borderId="0" xfId="0" applyFont="1" applyProtection="1"/>
    <xf numFmtId="0" fontId="38" fillId="0" borderId="0" xfId="0" applyFont="1" applyProtection="1"/>
    <xf numFmtId="0" fontId="16" fillId="0" borderId="24" xfId="0" applyFont="1" applyBorder="1" applyAlignment="1" applyProtection="1"/>
    <xf numFmtId="0" fontId="16" fillId="0" borderId="25" xfId="0" applyFont="1" applyBorder="1" applyAlignment="1" applyProtection="1"/>
    <xf numFmtId="0" fontId="16" fillId="0" borderId="25" xfId="0" applyFont="1" applyBorder="1" applyAlignment="1" applyProtection="1">
      <alignment horizontal="left"/>
    </xf>
    <xf numFmtId="0" fontId="16" fillId="0" borderId="20" xfId="0" applyFont="1" applyBorder="1" applyProtection="1"/>
    <xf numFmtId="0" fontId="16" fillId="0" borderId="21" xfId="0" applyFont="1" applyBorder="1" applyProtection="1"/>
    <xf numFmtId="0" fontId="16" fillId="0" borderId="20" xfId="0" applyFont="1" applyBorder="1" applyAlignment="1" applyProtection="1"/>
    <xf numFmtId="0" fontId="16" fillId="0" borderId="21" xfId="0" applyFont="1" applyBorder="1" applyAlignment="1" applyProtection="1"/>
    <xf numFmtId="0" fontId="16" fillId="0" borderId="1" xfId="0" applyFont="1" applyFill="1" applyBorder="1" applyAlignment="1" applyProtection="1"/>
    <xf numFmtId="0" fontId="16" fillId="0" borderId="20" xfId="0" applyFont="1" applyFill="1" applyBorder="1" applyAlignment="1" applyProtection="1">
      <alignment horizontal="left"/>
    </xf>
    <xf numFmtId="0" fontId="16" fillId="0" borderId="21" xfId="0" applyFont="1" applyFill="1" applyBorder="1" applyAlignment="1" applyProtection="1">
      <alignment horizontal="left"/>
    </xf>
    <xf numFmtId="0" fontId="16" fillId="0" borderId="16" xfId="0" applyFont="1" applyBorder="1" applyAlignment="1" applyProtection="1">
      <alignment horizontal="left"/>
    </xf>
    <xf numFmtId="0" fontId="16" fillId="0" borderId="1" xfId="0" applyFont="1" applyBorder="1" applyAlignment="1" applyProtection="1">
      <alignment horizontal="left"/>
    </xf>
    <xf numFmtId="0" fontId="16" fillId="0" borderId="20" xfId="0" applyFont="1" applyBorder="1" applyAlignment="1" applyProtection="1">
      <alignment horizontal="left"/>
    </xf>
    <xf numFmtId="0" fontId="16" fillId="0" borderId="21" xfId="0" applyFont="1" applyBorder="1" applyAlignment="1" applyProtection="1">
      <alignment horizontal="left"/>
    </xf>
    <xf numFmtId="0" fontId="39" fillId="0" borderId="0" xfId="0" applyFont="1" applyBorder="1" applyProtection="1"/>
    <xf numFmtId="0" fontId="38" fillId="0" borderId="0" xfId="0" applyFont="1" applyBorder="1" applyProtection="1"/>
    <xf numFmtId="0" fontId="16" fillId="0" borderId="16" xfId="0" applyFont="1" applyFill="1" applyBorder="1" applyAlignment="1" applyProtection="1">
      <alignment horizontal="left"/>
    </xf>
    <xf numFmtId="0" fontId="16" fillId="0" borderId="1" xfId="0" applyFont="1" applyFill="1" applyBorder="1" applyAlignment="1" applyProtection="1">
      <alignment horizontal="left"/>
    </xf>
    <xf numFmtId="0" fontId="38" fillId="0" borderId="3" xfId="0" applyFont="1" applyFill="1" applyBorder="1" applyProtection="1"/>
    <xf numFmtId="0" fontId="16" fillId="0" borderId="1" xfId="0" applyFont="1" applyBorder="1" applyAlignment="1" applyProtection="1">
      <alignment vertical="top" wrapText="1"/>
    </xf>
    <xf numFmtId="0" fontId="40" fillId="3" borderId="12" xfId="0" applyFont="1" applyFill="1" applyBorder="1" applyAlignment="1" applyProtection="1">
      <alignment horizontal="center" vertical="center"/>
      <protection locked="0"/>
    </xf>
    <xf numFmtId="0" fontId="40" fillId="2" borderId="5" xfId="0" applyFont="1" applyFill="1" applyBorder="1" applyAlignment="1" applyProtection="1">
      <alignment horizontal="center" vertical="center"/>
    </xf>
    <xf numFmtId="0" fontId="16" fillId="0" borderId="16" xfId="0" applyFont="1" applyFill="1" applyBorder="1" applyProtection="1"/>
    <xf numFmtId="0" fontId="16" fillId="0" borderId="20" xfId="0" applyFont="1" applyFill="1" applyBorder="1" applyProtection="1"/>
    <xf numFmtId="0" fontId="16" fillId="0" borderId="15" xfId="0" applyFont="1" applyBorder="1" applyAlignment="1"/>
    <xf numFmtId="0" fontId="16" fillId="0" borderId="16" xfId="0" applyFont="1" applyFill="1" applyBorder="1" applyAlignment="1" applyProtection="1"/>
    <xf numFmtId="0" fontId="34" fillId="0" borderId="16" xfId="0" applyFont="1" applyBorder="1" applyAlignment="1">
      <alignment horizontal="center" vertical="center" wrapText="1"/>
    </xf>
    <xf numFmtId="0" fontId="34" fillId="0" borderId="16" xfId="0" applyFont="1" applyBorder="1"/>
    <xf numFmtId="0" fontId="41" fillId="0" borderId="1" xfId="0" applyFont="1" applyBorder="1" applyAlignment="1">
      <alignment wrapText="1"/>
    </xf>
    <xf numFmtId="0" fontId="16" fillId="0" borderId="20" xfId="0" applyFont="1" applyFill="1" applyBorder="1" applyAlignment="1" applyProtection="1">
      <alignment horizontal="left"/>
    </xf>
    <xf numFmtId="0" fontId="16" fillId="0" borderId="21" xfId="0" applyFont="1" applyFill="1" applyBorder="1" applyAlignment="1" applyProtection="1">
      <alignment horizontal="left"/>
    </xf>
    <xf numFmtId="0" fontId="16" fillId="0" borderId="1" xfId="0" applyFont="1" applyBorder="1" applyAlignment="1">
      <alignment horizontal="left" vertical="top" wrapText="1"/>
    </xf>
    <xf numFmtId="0" fontId="16" fillId="0" borderId="24" xfId="0" applyFont="1" applyBorder="1" applyAlignment="1" applyProtection="1">
      <alignment horizontal="left"/>
    </xf>
    <xf numFmtId="0" fontId="16" fillId="0" borderId="16" xfId="0" applyFont="1" applyBorder="1" applyAlignment="1" applyProtection="1"/>
    <xf numFmtId="0" fontId="16" fillId="0" borderId="1" xfId="0" applyFont="1" applyBorder="1" applyAlignment="1" applyProtection="1"/>
    <xf numFmtId="0" fontId="16" fillId="0" borderId="16" xfId="0" applyFont="1" applyFill="1" applyBorder="1" applyAlignment="1" applyProtection="1">
      <alignment horizontal="left"/>
    </xf>
    <xf numFmtId="0" fontId="16" fillId="0" borderId="1" xfId="0" applyFont="1" applyFill="1" applyBorder="1" applyAlignment="1" applyProtection="1">
      <alignment horizontal="left"/>
    </xf>
    <xf numFmtId="0" fontId="16" fillId="0" borderId="20" xfId="0" applyFont="1" applyBorder="1" applyAlignment="1" applyProtection="1"/>
    <xf numFmtId="0" fontId="16" fillId="0" borderId="21" xfId="0" applyFont="1" applyBorder="1" applyAlignment="1" applyProtection="1"/>
    <xf numFmtId="0" fontId="38" fillId="0" borderId="26" xfId="0" applyFont="1" applyBorder="1" applyProtection="1"/>
    <xf numFmtId="0" fontId="13" fillId="0" borderId="27" xfId="0" applyFont="1" applyBorder="1" applyAlignment="1" applyProtection="1">
      <alignment horizontal="center" vertical="center"/>
    </xf>
    <xf numFmtId="0" fontId="0" fillId="2" borderId="5" xfId="0" applyFill="1" applyBorder="1" applyAlignment="1" applyProtection="1">
      <alignment horizontal="center" vertical="center" wrapText="1"/>
    </xf>
    <xf numFmtId="0" fontId="41" fillId="0" borderId="16" xfId="0" applyFont="1" applyBorder="1" applyAlignment="1">
      <alignment horizontal="center" vertical="center"/>
    </xf>
    <xf numFmtId="0" fontId="16" fillId="0" borderId="28" xfId="0" applyFont="1" applyBorder="1"/>
    <xf numFmtId="0" fontId="16" fillId="0" borderId="29" xfId="0" applyFont="1" applyBorder="1" applyProtection="1"/>
    <xf numFmtId="0" fontId="16" fillId="0" borderId="16" xfId="0" applyFont="1" applyBorder="1"/>
    <xf numFmtId="0" fontId="0" fillId="0" borderId="30" xfId="0" applyBorder="1" applyAlignment="1">
      <alignment horizontal="center" vertical="center"/>
    </xf>
    <xf numFmtId="0" fontId="0" fillId="0" borderId="30" xfId="0" applyBorder="1" applyAlignment="1" applyProtection="1">
      <alignment horizontal="center" vertical="center"/>
    </xf>
    <xf numFmtId="0" fontId="16" fillId="0" borderId="16" xfId="0" applyFont="1" applyBorder="1" applyAlignment="1">
      <alignment horizontal="center"/>
    </xf>
    <xf numFmtId="0" fontId="16" fillId="0" borderId="28" xfId="0" applyFont="1" applyBorder="1" applyAlignment="1">
      <alignment vertical="top"/>
    </xf>
    <xf numFmtId="0" fontId="0" fillId="3" borderId="6" xfId="0" applyNumberFormat="1" applyFill="1" applyBorder="1" applyAlignment="1" applyProtection="1">
      <alignment horizontal="center" vertical="center"/>
      <protection locked="0"/>
    </xf>
    <xf numFmtId="0" fontId="0" fillId="6" borderId="6" xfId="0" applyFont="1" applyFill="1" applyBorder="1" applyAlignment="1" applyProtection="1">
      <alignment horizontal="center" vertical="center"/>
    </xf>
    <xf numFmtId="0" fontId="27" fillId="4" borderId="8" xfId="0" applyFont="1" applyFill="1" applyBorder="1" applyAlignment="1" applyProtection="1">
      <alignment horizontal="center" vertical="center" wrapText="1"/>
    </xf>
    <xf numFmtId="0" fontId="27" fillId="4" borderId="9" xfId="0" applyFont="1" applyFill="1" applyBorder="1" applyAlignment="1" applyProtection="1">
      <alignment horizontal="center" vertical="center" wrapText="1"/>
    </xf>
    <xf numFmtId="0" fontId="14" fillId="0" borderId="17" xfId="0" applyFont="1" applyBorder="1" applyProtection="1"/>
    <xf numFmtId="0" fontId="14" fillId="0" borderId="20" xfId="0" applyFont="1" applyBorder="1" applyProtection="1"/>
    <xf numFmtId="0" fontId="14" fillId="0" borderId="21" xfId="0" applyFont="1" applyBorder="1" applyProtection="1"/>
    <xf numFmtId="0" fontId="14" fillId="0" borderId="15" xfId="0" applyFont="1" applyFill="1" applyBorder="1" applyProtection="1"/>
    <xf numFmtId="0" fontId="14" fillId="0" borderId="15" xfId="0" applyFont="1" applyFill="1" applyBorder="1" applyAlignment="1" applyProtection="1">
      <alignment horizontal="left"/>
    </xf>
    <xf numFmtId="0" fontId="14" fillId="0" borderId="17" xfId="0" applyFont="1" applyFill="1" applyBorder="1" applyAlignment="1" applyProtection="1">
      <alignment horizontal="left"/>
    </xf>
    <xf numFmtId="0" fontId="14" fillId="0" borderId="0" xfId="0" applyFont="1" applyFill="1" applyBorder="1" applyAlignment="1" applyProtection="1">
      <alignment horizontal="left"/>
    </xf>
    <xf numFmtId="0" fontId="14" fillId="0" borderId="15" xfId="0" applyFont="1" applyBorder="1" applyProtection="1"/>
    <xf numFmtId="0" fontId="15" fillId="0" borderId="15" xfId="0" applyFont="1" applyBorder="1" applyProtection="1"/>
    <xf numFmtId="0" fontId="14" fillId="0" borderId="20" xfId="0" applyFont="1" applyFill="1" applyBorder="1" applyAlignment="1" applyProtection="1">
      <alignment horizontal="left"/>
    </xf>
    <xf numFmtId="0" fontId="14" fillId="0" borderId="21" xfId="0" applyFont="1" applyFill="1" applyBorder="1" applyAlignment="1" applyProtection="1">
      <alignment horizontal="left"/>
    </xf>
    <xf numFmtId="0" fontId="14" fillId="0" borderId="16" xfId="0" applyFont="1" applyBorder="1" applyProtection="1"/>
    <xf numFmtId="0" fontId="14" fillId="0" borderId="1" xfId="0" applyFont="1" applyBorder="1" applyProtection="1"/>
    <xf numFmtId="0" fontId="14" fillId="0" borderId="16" xfId="0" applyFont="1" applyFill="1" applyBorder="1" applyProtection="1"/>
    <xf numFmtId="0" fontId="14" fillId="0" borderId="20" xfId="0" applyFont="1" applyFill="1" applyBorder="1" applyProtection="1"/>
    <xf numFmtId="0" fontId="14" fillId="0" borderId="0" xfId="0" applyFont="1" applyFill="1" applyBorder="1" applyProtection="1"/>
    <xf numFmtId="0" fontId="14" fillId="0" borderId="0" xfId="0" applyFont="1" applyBorder="1" applyProtection="1"/>
    <xf numFmtId="0" fontId="42" fillId="0" borderId="20" xfId="0" applyFont="1" applyFill="1" applyBorder="1" applyProtection="1"/>
    <xf numFmtId="0" fontId="42" fillId="0" borderId="21" xfId="0" applyFont="1" applyBorder="1" applyProtection="1"/>
    <xf numFmtId="0" fontId="33" fillId="3" borderId="12" xfId="0" applyFont="1" applyFill="1" applyBorder="1" applyAlignment="1" applyProtection="1">
      <alignment horizontal="center" vertical="center"/>
      <protection locked="0"/>
    </xf>
    <xf numFmtId="0" fontId="33" fillId="2" borderId="5" xfId="0" applyFont="1" applyFill="1" applyBorder="1" applyAlignment="1" applyProtection="1">
      <alignment horizontal="center" vertical="center"/>
    </xf>
    <xf numFmtId="0" fontId="33" fillId="0" borderId="0" xfId="0" applyFont="1" applyAlignment="1" applyProtection="1">
      <alignment horizontal="center" vertical="center"/>
    </xf>
    <xf numFmtId="0" fontId="33" fillId="0" borderId="0" xfId="0" applyFont="1" applyFill="1" applyBorder="1" applyAlignment="1" applyProtection="1">
      <alignment horizontal="center" vertical="center"/>
    </xf>
    <xf numFmtId="0" fontId="33" fillId="3" borderId="6" xfId="0" applyFont="1" applyFill="1" applyBorder="1" applyAlignment="1" applyProtection="1">
      <alignment horizontal="center" vertical="center"/>
      <protection locked="0"/>
    </xf>
    <xf numFmtId="0" fontId="33" fillId="6" borderId="6" xfId="0" applyFont="1" applyFill="1" applyBorder="1" applyAlignment="1" applyProtection="1">
      <alignment horizontal="center" vertical="center"/>
    </xf>
    <xf numFmtId="0" fontId="33" fillId="6" borderId="12" xfId="0" applyFont="1" applyFill="1" applyBorder="1" applyAlignment="1" applyProtection="1">
      <alignment horizontal="center" vertical="center"/>
    </xf>
    <xf numFmtId="0" fontId="33" fillId="2" borderId="6" xfId="0" applyFont="1" applyFill="1" applyBorder="1" applyAlignment="1" applyProtection="1">
      <alignment horizontal="center" vertical="center"/>
    </xf>
    <xf numFmtId="0" fontId="33" fillId="0" borderId="5" xfId="0" applyFont="1" applyBorder="1" applyAlignment="1" applyProtection="1">
      <alignment horizontal="center" vertical="center"/>
    </xf>
    <xf numFmtId="0" fontId="14" fillId="0" borderId="1" xfId="0" applyFont="1" applyBorder="1" applyAlignment="1" applyProtection="1"/>
    <xf numFmtId="0" fontId="14" fillId="0" borderId="15" xfId="0" applyFont="1" applyBorder="1"/>
    <xf numFmtId="0" fontId="33" fillId="0" borderId="12" xfId="0" applyFont="1" applyBorder="1" applyAlignment="1" applyProtection="1">
      <alignment horizontal="center" vertical="center"/>
    </xf>
    <xf numFmtId="0" fontId="33" fillId="0" borderId="12" xfId="0" applyFont="1" applyFill="1" applyBorder="1" applyAlignment="1" applyProtection="1">
      <alignment horizontal="center" vertical="center"/>
    </xf>
    <xf numFmtId="0" fontId="14" fillId="0" borderId="1" xfId="0" applyFont="1" applyFill="1" applyBorder="1" applyAlignment="1" applyProtection="1"/>
    <xf numFmtId="0" fontId="14" fillId="0" borderId="16" xfId="0" applyFont="1" applyBorder="1" applyAlignment="1" applyProtection="1">
      <alignment horizontal="center" vertical="center"/>
    </xf>
    <xf numFmtId="0" fontId="14" fillId="0" borderId="16" xfId="0" applyFont="1" applyFill="1" applyBorder="1" applyAlignment="1" applyProtection="1">
      <alignment horizontal="center" vertical="center"/>
    </xf>
    <xf numFmtId="0" fontId="27" fillId="4" borderId="11" xfId="0" applyFont="1" applyFill="1" applyBorder="1" applyAlignment="1" applyProtection="1">
      <alignment horizontal="center" vertical="center" wrapText="1"/>
    </xf>
    <xf numFmtId="0" fontId="33" fillId="0" borderId="0" xfId="0" applyFont="1" applyAlignment="1" applyProtection="1">
      <alignment vertical="center"/>
    </xf>
    <xf numFmtId="0" fontId="0" fillId="0" borderId="0" xfId="0" applyAlignment="1" applyProtection="1">
      <alignment vertical="center"/>
    </xf>
    <xf numFmtId="0" fontId="27" fillId="4" borderId="31" xfId="0" applyFont="1" applyFill="1" applyBorder="1" applyAlignment="1" applyProtection="1">
      <alignment horizontal="center" vertical="center" wrapText="1"/>
    </xf>
    <xf numFmtId="0" fontId="33" fillId="3" borderId="1" xfId="0" applyFont="1" applyFill="1" applyBorder="1" applyAlignment="1" applyProtection="1">
      <alignment horizontal="center" vertical="center"/>
      <protection locked="0"/>
    </xf>
    <xf numFmtId="0" fontId="33" fillId="0" borderId="1" xfId="0" applyFont="1" applyFill="1" applyBorder="1" applyAlignment="1" applyProtection="1">
      <alignment horizontal="center" vertical="center"/>
    </xf>
    <xf numFmtId="0" fontId="33" fillId="2" borderId="1" xfId="0" applyFont="1" applyFill="1" applyBorder="1" applyAlignment="1" applyProtection="1">
      <alignment horizontal="center" vertical="center"/>
    </xf>
    <xf numFmtId="0" fontId="33" fillId="0" borderId="6" xfId="0" applyFont="1" applyFill="1" applyBorder="1" applyAlignment="1" applyProtection="1">
      <alignment horizontal="center" vertical="center"/>
    </xf>
    <xf numFmtId="0" fontId="14" fillId="0" borderId="1" xfId="0" applyFont="1" applyFill="1" applyBorder="1" applyAlignment="1" applyProtection="1">
      <alignment horizontal="left"/>
    </xf>
    <xf numFmtId="0" fontId="15" fillId="0" borderId="1" xfId="0" applyFont="1" applyBorder="1" applyAlignment="1">
      <alignment wrapText="1"/>
    </xf>
    <xf numFmtId="0" fontId="14" fillId="0" borderId="16" xfId="0" applyFont="1" applyFill="1" applyBorder="1" applyAlignment="1" applyProtection="1">
      <alignment horizontal="left" vertical="top"/>
    </xf>
    <xf numFmtId="0" fontId="15" fillId="0" borderId="1" xfId="0" applyFont="1" applyBorder="1" applyAlignment="1">
      <alignment horizontal="left" vertical="top" wrapText="1"/>
    </xf>
    <xf numFmtId="0" fontId="14" fillId="0" borderId="16" xfId="0" applyFont="1" applyFill="1" applyBorder="1" applyAlignment="1" applyProtection="1">
      <alignment horizontal="center" vertical="center" wrapText="1"/>
    </xf>
    <xf numFmtId="0" fontId="14" fillId="0" borderId="1" xfId="0" applyFont="1" applyBorder="1" applyAlignment="1">
      <alignment wrapText="1"/>
    </xf>
    <xf numFmtId="0" fontId="14" fillId="0" borderId="1" xfId="0" applyFont="1" applyBorder="1" applyAlignment="1">
      <alignment horizontal="left" vertical="top" wrapText="1"/>
    </xf>
    <xf numFmtId="0" fontId="14" fillId="0" borderId="16" xfId="0" applyFont="1" applyBorder="1" applyAlignment="1" applyProtection="1">
      <alignment horizontal="center"/>
    </xf>
    <xf numFmtId="0" fontId="15" fillId="0" borderId="16" xfId="0" applyFont="1" applyBorder="1" applyAlignment="1" applyProtection="1">
      <alignment horizontal="center" vertical="center"/>
    </xf>
    <xf numFmtId="0" fontId="15" fillId="0" borderId="16" xfId="0" applyFont="1" applyBorder="1" applyAlignment="1">
      <alignment horizontal="center" vertical="center" wrapText="1"/>
    </xf>
    <xf numFmtId="0" fontId="14" fillId="0" borderId="1" xfId="0" applyFont="1" applyBorder="1" applyAlignment="1" applyProtection="1">
      <alignment horizontal="center" vertical="center" wrapText="1"/>
    </xf>
    <xf numFmtId="0" fontId="33" fillId="6" borderId="1" xfId="0" applyFont="1" applyFill="1" applyBorder="1" applyAlignment="1" applyProtection="1">
      <alignment horizontal="center" vertical="center"/>
    </xf>
    <xf numFmtId="0" fontId="14" fillId="0" borderId="16" xfId="0" applyFont="1" applyFill="1" applyBorder="1" applyAlignment="1" applyProtection="1">
      <alignment horizontal="left"/>
    </xf>
    <xf numFmtId="0" fontId="33" fillId="0" borderId="21" xfId="0" applyFont="1" applyFill="1" applyBorder="1" applyAlignment="1" applyProtection="1">
      <alignment horizontal="center" vertical="center"/>
    </xf>
    <xf numFmtId="0" fontId="14" fillId="0" borderId="19" xfId="0" applyFont="1" applyFill="1" applyBorder="1" applyAlignment="1" applyProtection="1">
      <alignment horizontal="left"/>
    </xf>
    <xf numFmtId="0" fontId="14" fillId="0" borderId="4" xfId="0" applyFont="1" applyFill="1" applyBorder="1" applyAlignment="1" applyProtection="1">
      <alignment horizontal="left"/>
    </xf>
    <xf numFmtId="0" fontId="33" fillId="6" borderId="4" xfId="0" applyFont="1" applyFill="1" applyBorder="1" applyAlignment="1" applyProtection="1">
      <alignment horizontal="center" vertical="center"/>
    </xf>
    <xf numFmtId="0" fontId="33" fillId="3" borderId="4" xfId="0" applyFont="1" applyFill="1" applyBorder="1" applyAlignment="1" applyProtection="1">
      <alignment horizontal="center" vertical="center"/>
      <protection locked="0"/>
    </xf>
    <xf numFmtId="0" fontId="33" fillId="2" borderId="21" xfId="0" applyFont="1" applyFill="1" applyBorder="1" applyAlignment="1" applyProtection="1">
      <alignment horizontal="center" vertical="center"/>
    </xf>
    <xf numFmtId="0" fontId="14" fillId="0" borderId="16" xfId="0" applyFont="1" applyBorder="1" applyAlignment="1">
      <alignment horizontal="center" vertical="center" wrapText="1"/>
    </xf>
    <xf numFmtId="0" fontId="15" fillId="0" borderId="0" xfId="0" applyFont="1" applyAlignment="1" applyProtection="1">
      <alignment horizontal="left" wrapText="1"/>
      <protection locked="0"/>
    </xf>
    <xf numFmtId="0" fontId="15" fillId="0" borderId="0" xfId="0" applyFont="1" applyAlignment="1" applyProtection="1">
      <alignment horizontal="left" vertical="center" wrapText="1"/>
      <protection locked="0"/>
    </xf>
    <xf numFmtId="0" fontId="16" fillId="0" borderId="1" xfId="0" applyFont="1" applyBorder="1" applyAlignment="1">
      <alignment horizontal="left" vertical="top" wrapText="1"/>
    </xf>
    <xf numFmtId="0" fontId="15" fillId="0" borderId="0" xfId="0" applyFont="1" applyAlignment="1">
      <alignment horizontal="center" vertical="top" wrapText="1"/>
    </xf>
    <xf numFmtId="0" fontId="15" fillId="0" borderId="0" xfId="0" applyFont="1" applyAlignment="1">
      <alignment vertical="top" wrapText="1"/>
    </xf>
    <xf numFmtId="0" fontId="17" fillId="0" borderId="0" xfId="0" applyFont="1" applyAlignment="1" applyProtection="1">
      <alignment horizontal="left" vertical="center" wrapText="1"/>
      <protection locked="0"/>
    </xf>
    <xf numFmtId="0" fontId="15" fillId="0" borderId="0" xfId="0" applyFont="1" applyAlignment="1" applyProtection="1">
      <alignment horizontal="justify"/>
      <protection locked="0"/>
    </xf>
    <xf numFmtId="0" fontId="0" fillId="0" borderId="0" xfId="0" applyAlignment="1" applyProtection="1">
      <protection locked="0"/>
    </xf>
    <xf numFmtId="0" fontId="0" fillId="0" borderId="0" xfId="0" applyAlignment="1" applyProtection="1">
      <alignment horizontal="left"/>
      <protection locked="0"/>
    </xf>
    <xf numFmtId="0" fontId="0" fillId="0" borderId="0" xfId="0" applyAlignment="1"/>
    <xf numFmtId="0" fontId="15" fillId="0" borderId="0" xfId="0" applyFont="1" applyAlignment="1">
      <alignment horizontal="justify" vertical="top" wrapText="1"/>
    </xf>
    <xf numFmtId="0" fontId="15" fillId="0" borderId="0" xfId="0" applyFont="1" applyAlignment="1">
      <alignment horizontal="justify"/>
    </xf>
    <xf numFmtId="0" fontId="14" fillId="0" borderId="0" xfId="0" applyFont="1" applyAlignment="1"/>
    <xf numFmtId="0" fontId="15" fillId="0" borderId="0" xfId="0" applyFont="1" applyAlignment="1">
      <alignment horizontal="left" vertical="top" wrapText="1"/>
    </xf>
    <xf numFmtId="0" fontId="15" fillId="0" borderId="0" xfId="0" applyFont="1" applyAlignment="1">
      <alignment horizontal="left" wrapText="1"/>
    </xf>
    <xf numFmtId="0" fontId="14" fillId="0" borderId="0" xfId="0" applyFont="1" applyAlignment="1">
      <alignment horizontal="left" vertical="center"/>
    </xf>
    <xf numFmtId="0" fontId="24" fillId="0" borderId="0" xfId="0" applyFont="1" applyAlignment="1">
      <alignment horizontal="justify"/>
    </xf>
    <xf numFmtId="0" fontId="20" fillId="0" borderId="0" xfId="0" applyFont="1" applyAlignment="1">
      <alignment horizontal="left"/>
    </xf>
    <xf numFmtId="0" fontId="24" fillId="0" borderId="0" xfId="0" applyFont="1" applyAlignment="1">
      <alignment horizontal="left"/>
    </xf>
    <xf numFmtId="2" fontId="0" fillId="6" borderId="6" xfId="0" applyNumberFormat="1" applyFill="1" applyBorder="1" applyAlignment="1" applyProtection="1">
      <alignment horizontal="center" vertical="center"/>
    </xf>
    <xf numFmtId="0" fontId="0" fillId="3" borderId="14" xfId="0" applyFill="1" applyBorder="1" applyAlignment="1" applyProtection="1">
      <alignment horizontal="center" vertical="center"/>
      <protection locked="0"/>
    </xf>
    <xf numFmtId="0" fontId="14" fillId="0" borderId="1" xfId="0" applyFont="1" applyBorder="1" applyAlignment="1">
      <alignment vertical="top" wrapText="1"/>
    </xf>
    <xf numFmtId="0" fontId="0" fillId="0" borderId="0" xfId="0" applyAlignment="1">
      <alignment horizontal="left" vertical="top"/>
    </xf>
    <xf numFmtId="0" fontId="14" fillId="0" borderId="0" xfId="0" applyFont="1" applyAlignment="1">
      <alignment horizontal="left" vertical="top"/>
    </xf>
    <xf numFmtId="0" fontId="16" fillId="0" borderId="10" xfId="0" applyFont="1" applyBorder="1" applyAlignment="1">
      <alignment horizontal="left" vertical="top" wrapText="1"/>
    </xf>
    <xf numFmtId="0" fontId="16" fillId="0" borderId="14" xfId="0" applyFont="1" applyFill="1" applyBorder="1" applyAlignment="1">
      <alignment horizontal="center" vertical="center"/>
    </xf>
    <xf numFmtId="0" fontId="16" fillId="0" borderId="6" xfId="0" applyFont="1" applyBorder="1" applyAlignment="1">
      <alignment horizontal="center" vertical="center"/>
    </xf>
    <xf numFmtId="0" fontId="16" fillId="3" borderId="6" xfId="0" applyFont="1" applyFill="1" applyBorder="1" applyAlignment="1" applyProtection="1">
      <alignment horizontal="center" vertical="center"/>
      <protection locked="0"/>
    </xf>
    <xf numFmtId="0" fontId="16" fillId="0" borderId="6" xfId="0" applyFont="1" applyFill="1" applyBorder="1" applyAlignment="1">
      <alignment horizontal="center" vertical="center"/>
    </xf>
    <xf numFmtId="0" fontId="16" fillId="2" borderId="5" xfId="0" applyFont="1" applyFill="1" applyBorder="1" applyAlignment="1" applyProtection="1">
      <alignment horizontal="center" vertical="center"/>
    </xf>
    <xf numFmtId="0" fontId="15" fillId="0" borderId="15" xfId="0" applyFont="1" applyBorder="1" applyAlignment="1">
      <alignment horizontal="left" vertical="top"/>
    </xf>
    <xf numFmtId="0" fontId="43" fillId="0" borderId="1" xfId="0" applyFont="1" applyBorder="1" applyAlignment="1">
      <alignment horizontal="center" vertical="center" wrapText="1"/>
    </xf>
    <xf numFmtId="0" fontId="16" fillId="0" borderId="1" xfId="0" applyFont="1" applyBorder="1" applyAlignment="1">
      <alignment horizontal="center" vertical="top" wrapText="1"/>
    </xf>
    <xf numFmtId="0" fontId="41" fillId="0" borderId="1" xfId="0" applyFont="1" applyBorder="1" applyAlignment="1">
      <alignment horizontal="left" vertical="top" wrapText="1"/>
    </xf>
    <xf numFmtId="0" fontId="16" fillId="0" borderId="4" xfId="0" applyFont="1" applyBorder="1" applyAlignment="1">
      <alignment horizontal="center" vertical="top" wrapText="1"/>
    </xf>
    <xf numFmtId="0" fontId="34" fillId="0" borderId="4" xfId="0" applyFont="1" applyBorder="1" applyAlignment="1">
      <alignment horizontal="left" vertical="top" wrapText="1"/>
    </xf>
    <xf numFmtId="0" fontId="43" fillId="0" borderId="8" xfId="0" applyFont="1" applyBorder="1" applyAlignment="1">
      <alignment horizontal="center" vertical="center" wrapText="1"/>
    </xf>
    <xf numFmtId="0" fontId="43" fillId="0" borderId="9" xfId="0" applyFont="1" applyBorder="1" applyAlignment="1">
      <alignment horizontal="center" vertical="center" wrapText="1"/>
    </xf>
    <xf numFmtId="0" fontId="43" fillId="0" borderId="10" xfId="0" applyFont="1" applyBorder="1" applyAlignment="1">
      <alignment horizontal="center" vertical="center" wrapText="1"/>
    </xf>
    <xf numFmtId="0" fontId="34" fillId="0" borderId="19" xfId="0" applyFont="1" applyBorder="1" applyAlignment="1">
      <alignment horizontal="center" vertical="center" wrapText="1"/>
    </xf>
    <xf numFmtId="0" fontId="22" fillId="0" borderId="14" xfId="0" applyFont="1" applyBorder="1" applyAlignment="1">
      <alignment horizontal="center" wrapText="1"/>
    </xf>
    <xf numFmtId="0" fontId="16" fillId="0" borderId="16" xfId="0" applyFont="1" applyBorder="1" applyAlignment="1">
      <alignment horizontal="center" vertical="top" wrapText="1"/>
    </xf>
    <xf numFmtId="0" fontId="22" fillId="0" borderId="6" xfId="0" applyFont="1" applyBorder="1" applyAlignment="1">
      <alignment horizontal="center" wrapText="1"/>
    </xf>
    <xf numFmtId="0" fontId="16" fillId="0" borderId="20" xfId="0" applyFont="1" applyBorder="1" applyAlignment="1">
      <alignment horizontal="center" vertical="top" wrapText="1"/>
    </xf>
    <xf numFmtId="0" fontId="16" fillId="0" borderId="21" xfId="0" applyFont="1" applyBorder="1" applyAlignment="1">
      <alignment horizontal="center" vertical="top" wrapText="1"/>
    </xf>
    <xf numFmtId="0" fontId="16" fillId="0" borderId="21" xfId="0" applyFont="1" applyBorder="1" applyAlignment="1">
      <alignment horizontal="left" vertical="top" wrapText="1"/>
    </xf>
    <xf numFmtId="0" fontId="22" fillId="0" borderId="5" xfId="0" applyFont="1" applyBorder="1" applyAlignment="1">
      <alignment horizontal="center" wrapText="1"/>
    </xf>
    <xf numFmtId="0" fontId="15" fillId="0" borderId="0" xfId="0" applyFont="1" applyAlignment="1">
      <alignment vertical="center"/>
    </xf>
    <xf numFmtId="0" fontId="15" fillId="0" borderId="0" xfId="0" applyFont="1" applyAlignment="1">
      <alignment vertical="top"/>
    </xf>
    <xf numFmtId="0" fontId="0" fillId="0" borderId="0" xfId="0" applyAlignment="1">
      <alignment vertical="top"/>
    </xf>
    <xf numFmtId="0" fontId="15" fillId="0" borderId="1" xfId="0" applyFont="1" applyBorder="1" applyAlignment="1">
      <alignment horizontal="justify" vertical="top" wrapText="1"/>
    </xf>
    <xf numFmtId="0" fontId="15" fillId="0" borderId="21" xfId="0" applyFont="1" applyBorder="1" applyAlignment="1">
      <alignment horizontal="justify" vertical="top" wrapText="1"/>
    </xf>
    <xf numFmtId="0" fontId="34" fillId="0" borderId="19" xfId="0" applyFont="1" applyBorder="1" applyAlignment="1">
      <alignment horizontal="center" vertical="top" wrapText="1"/>
    </xf>
    <xf numFmtId="0" fontId="16" fillId="0" borderId="4" xfId="0" applyFont="1" applyBorder="1" applyAlignment="1">
      <alignment horizontal="left" vertical="top" wrapText="1"/>
    </xf>
    <xf numFmtId="0" fontId="15" fillId="0" borderId="4" xfId="0" applyFont="1" applyBorder="1" applyAlignment="1">
      <alignment horizontal="justify" vertical="top" wrapText="1"/>
    </xf>
    <xf numFmtId="0" fontId="34" fillId="0" borderId="21" xfId="0" applyFont="1" applyBorder="1" applyAlignment="1">
      <alignment horizontal="left" vertical="top" wrapText="1"/>
    </xf>
    <xf numFmtId="0" fontId="18" fillId="0" borderId="0" xfId="0" applyFont="1" applyAlignment="1">
      <alignment vertical="top"/>
    </xf>
    <xf numFmtId="0" fontId="15" fillId="0" borderId="1" xfId="0" applyFont="1" applyBorder="1" applyAlignment="1">
      <alignment horizontal="center" vertical="center" wrapText="1"/>
    </xf>
    <xf numFmtId="0" fontId="43" fillId="0" borderId="21" xfId="0" applyFont="1" applyBorder="1" applyAlignment="1">
      <alignment horizontal="center" vertical="center" wrapText="1"/>
    </xf>
    <xf numFmtId="0" fontId="34" fillId="0" borderId="1" xfId="0" applyFont="1" applyBorder="1" applyAlignment="1">
      <alignment horizontal="justify" vertical="top" wrapText="1"/>
    </xf>
    <xf numFmtId="0" fontId="34" fillId="0" borderId="6" xfId="0" applyFont="1" applyBorder="1" applyAlignment="1">
      <alignment horizontal="justify" vertical="top" wrapText="1"/>
    </xf>
    <xf numFmtId="0" fontId="34" fillId="0" borderId="14" xfId="0" applyFont="1" applyBorder="1" applyAlignment="1">
      <alignment horizontal="left" vertical="top" wrapText="1"/>
    </xf>
    <xf numFmtId="0" fontId="34" fillId="0" borderId="6" xfId="0" applyFont="1" applyBorder="1" applyAlignment="1">
      <alignment horizontal="left" vertical="top" wrapText="1"/>
    </xf>
    <xf numFmtId="0" fontId="34" fillId="0" borderId="5" xfId="0" applyFont="1" applyBorder="1" applyAlignment="1">
      <alignment horizontal="left" vertical="top" wrapText="1"/>
    </xf>
    <xf numFmtId="2" fontId="15" fillId="0" borderId="4" xfId="0" applyNumberFormat="1" applyFont="1" applyBorder="1" applyAlignment="1">
      <alignment horizontal="center" vertical="top" wrapText="1"/>
    </xf>
    <xf numFmtId="0" fontId="44" fillId="0" borderId="1" xfId="0" applyFont="1" applyBorder="1" applyAlignment="1">
      <alignment horizontal="left" vertical="top" wrapText="1"/>
    </xf>
    <xf numFmtId="0" fontId="15" fillId="7" borderId="1" xfId="0" applyFont="1" applyFill="1" applyBorder="1" applyAlignment="1">
      <alignment horizontal="center" vertical="center" wrapText="1"/>
    </xf>
    <xf numFmtId="0" fontId="45" fillId="0" borderId="1" xfId="0" applyFont="1" applyBorder="1" applyAlignment="1">
      <alignment horizontal="left" vertical="top" wrapText="1"/>
    </xf>
    <xf numFmtId="0" fontId="45" fillId="0" borderId="1" xfId="0" applyFont="1" applyBorder="1" applyAlignment="1">
      <alignment vertical="top" wrapText="1"/>
    </xf>
    <xf numFmtId="0" fontId="45" fillId="0" borderId="1" xfId="0" applyFont="1" applyBorder="1" applyAlignment="1">
      <alignment horizontal="center" vertical="center" wrapText="1"/>
    </xf>
    <xf numFmtId="0" fontId="17" fillId="0" borderId="16" xfId="0" applyFont="1" applyBorder="1" applyAlignment="1">
      <alignment horizontal="center" vertical="top" wrapText="1"/>
    </xf>
    <xf numFmtId="0" fontId="15" fillId="0" borderId="16" xfId="0" applyFont="1" applyBorder="1" applyAlignment="1">
      <alignment horizontal="center" vertical="top" wrapText="1"/>
    </xf>
    <xf numFmtId="0" fontId="15" fillId="0" borderId="16" xfId="0" applyFont="1" applyBorder="1" applyAlignment="1">
      <alignment vertical="top" wrapText="1"/>
    </xf>
    <xf numFmtId="0" fontId="17" fillId="0" borderId="19" xfId="0" applyFont="1" applyBorder="1" applyAlignment="1">
      <alignment horizontal="center" vertical="top" wrapText="1"/>
    </xf>
    <xf numFmtId="0" fontId="44" fillId="0" borderId="4" xfId="0" applyFont="1" applyBorder="1" applyAlignment="1">
      <alignment horizontal="left" vertical="top" wrapText="1"/>
    </xf>
    <xf numFmtId="0" fontId="15" fillId="7" borderId="4" xfId="0" applyFont="1" applyFill="1" applyBorder="1" applyAlignment="1">
      <alignment horizontal="center" vertical="center" wrapText="1"/>
    </xf>
    <xf numFmtId="0" fontId="15" fillId="7" borderId="4" xfId="0" applyFont="1" applyFill="1" applyBorder="1" applyAlignment="1">
      <alignment horizontal="justify" vertical="center" wrapText="1"/>
    </xf>
    <xf numFmtId="0" fontId="15" fillId="7" borderId="4" xfId="0" applyFont="1" applyFill="1" applyBorder="1" applyAlignment="1">
      <alignment horizontal="justify" vertical="top" wrapText="1"/>
    </xf>
    <xf numFmtId="0" fontId="15" fillId="7" borderId="14" xfId="0" applyFont="1" applyFill="1" applyBorder="1" applyAlignment="1">
      <alignment horizontal="justify" vertical="top" wrapText="1"/>
    </xf>
    <xf numFmtId="0" fontId="15" fillId="0" borderId="18" xfId="0" applyFont="1" applyBorder="1" applyAlignment="1">
      <alignment vertical="top" wrapText="1"/>
    </xf>
    <xf numFmtId="0" fontId="45" fillId="0" borderId="2" xfId="0" applyFont="1" applyBorder="1" applyAlignment="1">
      <alignment vertical="top" wrapText="1"/>
    </xf>
    <xf numFmtId="0" fontId="15" fillId="0" borderId="2" xfId="0" applyFont="1" applyBorder="1" applyAlignment="1">
      <alignment horizontal="center" vertical="center" wrapText="1"/>
    </xf>
    <xf numFmtId="0" fontId="17" fillId="0" borderId="8" xfId="0" applyFont="1" applyBorder="1" applyAlignment="1">
      <alignment vertical="top"/>
    </xf>
    <xf numFmtId="0" fontId="15" fillId="0" borderId="9" xfId="0" applyFont="1" applyBorder="1" applyAlignment="1">
      <alignment vertical="top" wrapText="1"/>
    </xf>
    <xf numFmtId="0" fontId="15" fillId="0" borderId="9" xfId="0" applyFont="1" applyBorder="1" applyAlignment="1">
      <alignment horizontal="center" vertical="center" wrapText="1"/>
    </xf>
    <xf numFmtId="0" fontId="34" fillId="7" borderId="1" xfId="0" applyFont="1" applyFill="1" applyBorder="1" applyAlignment="1">
      <alignment horizontal="justify" vertical="top" wrapText="1"/>
    </xf>
    <xf numFmtId="0" fontId="34" fillId="7" borderId="6" xfId="0" applyFont="1" applyFill="1" applyBorder="1" applyAlignment="1">
      <alignment horizontal="justify" vertical="top" wrapText="1"/>
    </xf>
    <xf numFmtId="0" fontId="34" fillId="0" borderId="6" xfId="0" applyFont="1" applyBorder="1" applyAlignment="1">
      <alignment vertical="top" wrapText="1"/>
    </xf>
    <xf numFmtId="0" fontId="46" fillId="0" borderId="6" xfId="0" applyFont="1" applyBorder="1" applyAlignment="1">
      <alignment vertical="top" wrapText="1"/>
    </xf>
    <xf numFmtId="0" fontId="34" fillId="0" borderId="13" xfId="0" applyFont="1" applyBorder="1" applyAlignment="1">
      <alignment vertical="top" wrapText="1"/>
    </xf>
    <xf numFmtId="0" fontId="34" fillId="7" borderId="9" xfId="0" applyFont="1" applyFill="1" applyBorder="1" applyAlignment="1">
      <alignment vertical="top" wrapText="1"/>
    </xf>
    <xf numFmtId="0" fontId="34" fillId="7" borderId="10" xfId="0" applyFont="1" applyFill="1" applyBorder="1" applyAlignment="1">
      <alignment vertical="top" wrapText="1"/>
    </xf>
    <xf numFmtId="2" fontId="15" fillId="0" borderId="4" xfId="0" applyNumberFormat="1" applyFont="1" applyBorder="1" applyAlignment="1">
      <alignment horizontal="center" vertical="center" wrapText="1"/>
    </xf>
    <xf numFmtId="0" fontId="15" fillId="0" borderId="0" xfId="0" applyFont="1" applyAlignment="1">
      <alignment horizontal="left" vertical="top"/>
    </xf>
    <xf numFmtId="2" fontId="15" fillId="0" borderId="1" xfId="0" applyNumberFormat="1" applyFont="1" applyBorder="1" applyAlignment="1">
      <alignment horizontal="center" vertical="center" wrapText="1"/>
    </xf>
    <xf numFmtId="2" fontId="15" fillId="0" borderId="21" xfId="0" applyNumberFormat="1" applyFont="1" applyBorder="1" applyAlignment="1">
      <alignment horizontal="center" vertical="center" wrapText="1"/>
    </xf>
    <xf numFmtId="2" fontId="15" fillId="0" borderId="32" xfId="0" applyNumberFormat="1" applyFont="1" applyBorder="1" applyAlignment="1">
      <alignment horizontal="center" vertical="center" wrapText="1"/>
    </xf>
    <xf numFmtId="2" fontId="15" fillId="0" borderId="1" xfId="0" applyNumberFormat="1" applyFont="1" applyBorder="1" applyAlignment="1">
      <alignment horizontal="center" vertical="top" wrapText="1"/>
    </xf>
    <xf numFmtId="2" fontId="15" fillId="0" borderId="32" xfId="0" applyNumberFormat="1" applyFont="1" applyBorder="1" applyAlignment="1">
      <alignment horizontal="center" vertical="top" wrapText="1"/>
    </xf>
    <xf numFmtId="2" fontId="15" fillId="0" borderId="21" xfId="0" applyNumberFormat="1" applyFont="1" applyBorder="1" applyAlignment="1">
      <alignment horizontal="center" vertical="top" wrapText="1"/>
    </xf>
    <xf numFmtId="0" fontId="19" fillId="0" borderId="26" xfId="0" applyFont="1" applyBorder="1" applyAlignment="1">
      <alignment vertical="top" wrapText="1"/>
    </xf>
    <xf numFmtId="0" fontId="19" fillId="0" borderId="0" xfId="0" applyFont="1" applyAlignment="1">
      <alignment wrapText="1"/>
    </xf>
    <xf numFmtId="0" fontId="19" fillId="0" borderId="0" xfId="0" applyFont="1" applyBorder="1" applyAlignment="1">
      <alignment vertical="top" wrapText="1"/>
    </xf>
    <xf numFmtId="0" fontId="24" fillId="0" borderId="0" xfId="0" applyFont="1" applyAlignment="1"/>
    <xf numFmtId="0" fontId="20" fillId="0" borderId="0" xfId="0" applyFont="1" applyAlignment="1"/>
    <xf numFmtId="0" fontId="15" fillId="0" borderId="1" xfId="0" applyFont="1" applyBorder="1" applyAlignment="1" applyProtection="1">
      <alignment horizontal="center" vertical="center" wrapText="1"/>
      <protection locked="0"/>
    </xf>
    <xf numFmtId="0" fontId="44" fillId="0" borderId="1" xfId="0" applyFont="1" applyBorder="1" applyAlignment="1" applyProtection="1">
      <alignment vertical="top" wrapText="1"/>
      <protection locked="0"/>
    </xf>
    <xf numFmtId="0" fontId="15" fillId="7" borderId="1" xfId="0" applyFont="1" applyFill="1" applyBorder="1" applyAlignment="1" applyProtection="1">
      <alignment horizontal="center" vertical="center" wrapText="1"/>
    </xf>
    <xf numFmtId="0" fontId="15" fillId="7" borderId="1" xfId="0" applyFont="1" applyFill="1" applyBorder="1" applyAlignment="1" applyProtection="1">
      <alignment horizontal="center" vertical="center" wrapText="1"/>
      <protection locked="0"/>
    </xf>
    <xf numFmtId="0" fontId="45" fillId="0" borderId="1" xfId="0" applyFont="1" applyBorder="1" applyAlignment="1" applyProtection="1">
      <alignment vertical="top" wrapText="1"/>
      <protection locked="0"/>
    </xf>
    <xf numFmtId="0" fontId="47" fillId="0" borderId="1" xfId="0" applyFont="1" applyBorder="1" applyAlignment="1" applyProtection="1">
      <alignment horizontal="center" vertical="center" wrapText="1"/>
    </xf>
    <xf numFmtId="0" fontId="15" fillId="0" borderId="6" xfId="0" applyFont="1" applyBorder="1" applyAlignment="1" applyProtection="1">
      <alignment horizontal="center" vertical="center" wrapText="1"/>
      <protection locked="0"/>
    </xf>
    <xf numFmtId="0" fontId="17" fillId="0" borderId="16" xfId="0" applyFont="1" applyBorder="1" applyAlignment="1" applyProtection="1">
      <alignment horizontal="center" vertical="top" wrapText="1"/>
      <protection locked="0"/>
    </xf>
    <xf numFmtId="0" fontId="15" fillId="7" borderId="6" xfId="0" applyFont="1" applyFill="1" applyBorder="1" applyAlignment="1" applyProtection="1">
      <alignment horizontal="center" vertical="center" wrapText="1"/>
      <protection locked="0"/>
    </xf>
    <xf numFmtId="0" fontId="15" fillId="0" borderId="16" xfId="0" applyFont="1" applyBorder="1" applyAlignment="1" applyProtection="1">
      <alignment horizontal="center" vertical="top" wrapText="1"/>
      <protection locked="0"/>
    </xf>
    <xf numFmtId="0" fontId="17" fillId="0" borderId="20" xfId="0" applyFont="1" applyBorder="1" applyAlignment="1" applyProtection="1">
      <alignment horizontal="center" vertical="top" wrapText="1"/>
      <protection locked="0"/>
    </xf>
    <xf numFmtId="0" fontId="15" fillId="0" borderId="21" xfId="0" applyFont="1" applyBorder="1" applyAlignment="1" applyProtection="1">
      <alignment vertical="top" wrapText="1"/>
      <protection locked="0"/>
    </xf>
    <xf numFmtId="0" fontId="15" fillId="0" borderId="21" xfId="0" applyFont="1" applyBorder="1" applyAlignment="1" applyProtection="1">
      <alignment horizontal="center" vertical="center" wrapText="1"/>
    </xf>
    <xf numFmtId="0" fontId="15" fillId="7" borderId="5" xfId="0" applyFont="1" applyFill="1" applyBorder="1" applyAlignment="1" applyProtection="1">
      <alignment horizontal="center" vertical="center" wrapText="1"/>
      <protection locked="0"/>
    </xf>
    <xf numFmtId="0" fontId="17" fillId="0" borderId="19" xfId="0" applyFont="1" applyBorder="1" applyAlignment="1" applyProtection="1">
      <alignment horizontal="center" vertical="top" wrapText="1"/>
      <protection locked="0"/>
    </xf>
    <xf numFmtId="0" fontId="44" fillId="0" borderId="4" xfId="0" applyFont="1" applyBorder="1" applyAlignment="1" applyProtection="1">
      <alignment vertical="top" wrapText="1"/>
      <protection locked="0"/>
    </xf>
    <xf numFmtId="0" fontId="15" fillId="7" borderId="4" xfId="0" applyFont="1" applyFill="1" applyBorder="1" applyAlignment="1" applyProtection="1">
      <alignment horizontal="center" vertical="center" wrapText="1"/>
    </xf>
    <xf numFmtId="0" fontId="15" fillId="7" borderId="4" xfId="0" applyFont="1" applyFill="1" applyBorder="1" applyAlignment="1" applyProtection="1">
      <alignment horizontal="center" vertical="top" wrapText="1"/>
      <protection locked="0"/>
    </xf>
    <xf numFmtId="0" fontId="15" fillId="7" borderId="14" xfId="0" applyFont="1" applyFill="1" applyBorder="1" applyAlignment="1" applyProtection="1">
      <alignment horizontal="center" vertical="center" wrapText="1"/>
      <protection locked="0"/>
    </xf>
    <xf numFmtId="0" fontId="15" fillId="0" borderId="0" xfId="0" applyFont="1" applyAlignment="1" applyProtection="1">
      <alignment horizontal="left" vertical="top"/>
      <protection locked="0"/>
    </xf>
    <xf numFmtId="0" fontId="15" fillId="0" borderId="0" xfId="0" applyFont="1" applyAlignment="1" applyProtection="1">
      <alignment vertical="center"/>
      <protection locked="0"/>
    </xf>
    <xf numFmtId="0" fontId="15" fillId="0" borderId="0" xfId="0" applyFont="1" applyAlignment="1" applyProtection="1">
      <protection locked="0"/>
    </xf>
    <xf numFmtId="0" fontId="15" fillId="0" borderId="0" xfId="0" applyFont="1" applyAlignment="1">
      <alignment horizontal="left" vertical="center"/>
    </xf>
    <xf numFmtId="0" fontId="14" fillId="0" borderId="0" xfId="0" applyFont="1" applyAlignment="1" applyProtection="1">
      <protection locked="0"/>
    </xf>
    <xf numFmtId="0" fontId="15" fillId="0" borderId="0" xfId="0" applyFont="1" applyAlignment="1" applyProtection="1">
      <alignment horizontal="left" vertical="center"/>
      <protection locked="0"/>
    </xf>
    <xf numFmtId="0" fontId="0" fillId="0" borderId="33" xfId="0" applyBorder="1" applyProtection="1">
      <protection locked="0"/>
    </xf>
    <xf numFmtId="0" fontId="16" fillId="0" borderId="1" xfId="0" applyFont="1" applyBorder="1" applyAlignment="1" applyProtection="1">
      <alignment horizontal="center" vertical="top" wrapText="1"/>
      <protection locked="0"/>
    </xf>
    <xf numFmtId="0" fontId="34" fillId="0" borderId="1" xfId="0" applyFont="1" applyBorder="1" applyAlignment="1" applyProtection="1">
      <alignment horizontal="left" vertical="top" wrapText="1"/>
      <protection locked="0"/>
    </xf>
    <xf numFmtId="0" fontId="22" fillId="0" borderId="1" xfId="0" applyFont="1" applyBorder="1" applyAlignment="1" applyProtection="1">
      <alignment horizontal="center" vertical="center" wrapText="1"/>
    </xf>
    <xf numFmtId="0" fontId="41" fillId="0" borderId="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2" fontId="15" fillId="0" borderId="6" xfId="0" applyNumberFormat="1" applyFont="1" applyBorder="1" applyAlignment="1" applyProtection="1">
      <alignment horizontal="center" vertical="center" wrapText="1"/>
      <protection locked="0"/>
    </xf>
    <xf numFmtId="0" fontId="16" fillId="0" borderId="16" xfId="0" applyFont="1" applyBorder="1" applyAlignment="1" applyProtection="1">
      <alignment horizontal="center" vertical="top" wrapText="1"/>
      <protection locked="0"/>
    </xf>
    <xf numFmtId="2" fontId="15" fillId="0" borderId="6" xfId="0" applyNumberFormat="1" applyFont="1" applyFill="1" applyBorder="1" applyAlignment="1" applyProtection="1">
      <alignment horizontal="center" vertical="center" wrapText="1"/>
      <protection locked="0"/>
    </xf>
    <xf numFmtId="0" fontId="16" fillId="0" borderId="20" xfId="0" applyFont="1" applyBorder="1" applyAlignment="1" applyProtection="1">
      <alignment horizontal="center" vertical="top" wrapText="1"/>
      <protection locked="0"/>
    </xf>
    <xf numFmtId="0" fontId="16" fillId="0" borderId="21" xfId="0" applyFont="1" applyBorder="1" applyAlignment="1" applyProtection="1">
      <alignment horizontal="center" vertical="top" wrapText="1"/>
      <protection locked="0"/>
    </xf>
    <xf numFmtId="0" fontId="16" fillId="0" borderId="21" xfId="0" applyFont="1" applyBorder="1" applyAlignment="1" applyProtection="1">
      <alignment horizontal="left" vertical="top" wrapText="1"/>
      <protection locked="0"/>
    </xf>
    <xf numFmtId="0" fontId="34" fillId="0" borderId="21" xfId="0" applyFont="1" applyBorder="1" applyAlignment="1" applyProtection="1">
      <alignment horizontal="left" vertical="top" wrapText="1"/>
      <protection locked="0"/>
    </xf>
    <xf numFmtId="0" fontId="22" fillId="0" borderId="21" xfId="0" applyFont="1" applyBorder="1" applyAlignment="1" applyProtection="1">
      <alignment horizontal="center" vertical="center" wrapText="1"/>
    </xf>
    <xf numFmtId="2" fontId="15" fillId="0" borderId="5" xfId="0" applyNumberFormat="1" applyFont="1" applyFill="1" applyBorder="1" applyAlignment="1" applyProtection="1">
      <alignment horizontal="center" vertical="center" wrapText="1"/>
      <protection locked="0"/>
    </xf>
    <xf numFmtId="0" fontId="34" fillId="0" borderId="19" xfId="0" applyFont="1" applyBorder="1" applyAlignment="1" applyProtection="1">
      <alignment horizontal="center" vertical="top" wrapText="1"/>
      <protection locked="0"/>
    </xf>
    <xf numFmtId="0" fontId="16" fillId="0" borderId="4" xfId="0" applyFont="1" applyBorder="1" applyAlignment="1" applyProtection="1">
      <alignment horizontal="center" vertical="top" wrapText="1"/>
      <protection locked="0"/>
    </xf>
    <xf numFmtId="0" fontId="34" fillId="0" borderId="4" xfId="0" applyFont="1" applyBorder="1" applyAlignment="1" applyProtection="1">
      <alignment horizontal="left" vertical="top" wrapText="1"/>
      <protection locked="0"/>
    </xf>
    <xf numFmtId="0" fontId="22" fillId="0" borderId="4" xfId="0" applyFont="1" applyBorder="1" applyAlignment="1" applyProtection="1">
      <alignment horizontal="center" vertical="center" wrapText="1"/>
    </xf>
    <xf numFmtId="2" fontId="15" fillId="0" borderId="14" xfId="0" applyNumberFormat="1" applyFont="1" applyBorder="1" applyAlignment="1" applyProtection="1">
      <alignment horizontal="center" vertical="center" wrapText="1"/>
      <protection locked="0"/>
    </xf>
    <xf numFmtId="0" fontId="43" fillId="0" borderId="8" xfId="0" applyFont="1" applyBorder="1" applyAlignment="1" applyProtection="1">
      <alignment horizontal="center" vertical="center" wrapText="1"/>
      <protection locked="0"/>
    </xf>
    <xf numFmtId="0" fontId="43" fillId="0" borderId="9" xfId="0" applyFont="1" applyBorder="1" applyAlignment="1" applyProtection="1">
      <alignment horizontal="center" vertical="center" wrapText="1"/>
      <protection locked="0"/>
    </xf>
    <xf numFmtId="0" fontId="43" fillId="0" borderId="9" xfId="0" applyFont="1" applyBorder="1" applyAlignment="1" applyProtection="1">
      <alignment horizontal="center" vertical="center" wrapText="1"/>
    </xf>
    <xf numFmtId="0" fontId="43" fillId="0" borderId="10" xfId="0" applyFont="1" applyBorder="1" applyAlignment="1" applyProtection="1">
      <alignment horizontal="center" vertical="center" wrapText="1"/>
      <protection locked="0"/>
    </xf>
    <xf numFmtId="0" fontId="34" fillId="0" borderId="1" xfId="0" applyFont="1" applyBorder="1" applyAlignment="1" applyProtection="1">
      <alignment vertical="top" wrapText="1"/>
      <protection locked="0"/>
    </xf>
    <xf numFmtId="2" fontId="15" fillId="0" borderId="14" xfId="0" applyNumberFormat="1" applyFont="1" applyFill="1" applyBorder="1" applyAlignment="1" applyProtection="1">
      <alignment horizontal="center" vertical="center" wrapText="1"/>
      <protection locked="0"/>
    </xf>
    <xf numFmtId="0" fontId="15" fillId="0" borderId="0" xfId="0" applyFont="1" applyAlignment="1">
      <alignment horizontal="center" vertical="center" wrapText="1"/>
    </xf>
    <xf numFmtId="0" fontId="15" fillId="0" borderId="0" xfId="0" applyFont="1" applyAlignment="1" applyProtection="1">
      <alignment horizontal="left" vertical="top" wrapText="1"/>
      <protection locked="0"/>
    </xf>
    <xf numFmtId="0" fontId="15" fillId="0" borderId="0" xfId="0" applyFont="1" applyAlignment="1" applyProtection="1">
      <alignment horizontal="left" vertical="center" wrapText="1"/>
      <protection locked="0"/>
    </xf>
    <xf numFmtId="0" fontId="16" fillId="0" borderId="20" xfId="0" applyFont="1" applyBorder="1" applyAlignment="1" applyProtection="1">
      <alignment horizontal="left"/>
    </xf>
    <xf numFmtId="0" fontId="16" fillId="0" borderId="21" xfId="0" applyFont="1" applyBorder="1" applyAlignment="1" applyProtection="1">
      <alignment horizontal="left"/>
    </xf>
    <xf numFmtId="0" fontId="34" fillId="0" borderId="15" xfId="0" applyFont="1" applyBorder="1" applyAlignment="1">
      <alignment horizontal="left" vertical="top" wrapText="1"/>
    </xf>
    <xf numFmtId="0" fontId="34" fillId="0" borderId="17" xfId="0" applyFont="1" applyBorder="1" applyAlignment="1">
      <alignment horizontal="left" vertical="top" wrapText="1"/>
    </xf>
    <xf numFmtId="0" fontId="16" fillId="0" borderId="15" xfId="0" applyFont="1" applyBorder="1" applyAlignment="1">
      <alignment horizontal="left" vertical="top" wrapText="1"/>
    </xf>
    <xf numFmtId="0" fontId="16" fillId="0" borderId="17" xfId="0" applyFont="1" applyBorder="1" applyAlignment="1">
      <alignment horizontal="left" vertical="top" wrapText="1"/>
    </xf>
    <xf numFmtId="0" fontId="16" fillId="0" borderId="20" xfId="0" applyFont="1" applyFill="1" applyBorder="1" applyAlignment="1" applyProtection="1">
      <alignment horizontal="left"/>
    </xf>
    <xf numFmtId="0" fontId="16" fillId="0" borderId="21" xfId="0" applyFont="1" applyFill="1" applyBorder="1" applyAlignment="1" applyProtection="1">
      <alignment horizontal="left"/>
    </xf>
    <xf numFmtId="0" fontId="16" fillId="0" borderId="16" xfId="0" applyFont="1" applyBorder="1" applyAlignment="1" applyProtection="1">
      <alignment horizontal="left"/>
    </xf>
    <xf numFmtId="0" fontId="16" fillId="0" borderId="1" xfId="0" applyFont="1" applyBorder="1" applyAlignment="1" applyProtection="1">
      <alignment horizontal="left"/>
    </xf>
    <xf numFmtId="0" fontId="16" fillId="0" borderId="16" xfId="0" applyFont="1" applyBorder="1" applyAlignment="1" applyProtection="1"/>
    <xf numFmtId="0" fontId="16" fillId="0" borderId="1" xfId="0" applyFont="1" applyBorder="1" applyAlignment="1" applyProtection="1"/>
    <xf numFmtId="0" fontId="16" fillId="0" borderId="20" xfId="0" applyFont="1" applyBorder="1" applyAlignment="1">
      <alignment horizontal="left"/>
    </xf>
    <xf numFmtId="0" fontId="16" fillId="0" borderId="21" xfId="0" applyFont="1" applyBorder="1" applyAlignment="1">
      <alignment horizontal="left"/>
    </xf>
    <xf numFmtId="0" fontId="16" fillId="0" borderId="34" xfId="0" applyFont="1" applyBorder="1" applyAlignment="1">
      <alignment horizontal="left" vertical="top" wrapText="1"/>
    </xf>
    <xf numFmtId="0" fontId="16" fillId="0" borderId="35" xfId="0" applyFont="1" applyBorder="1" applyAlignment="1">
      <alignment horizontal="left" vertical="top" wrapText="1"/>
    </xf>
    <xf numFmtId="0" fontId="16" fillId="0" borderId="16" xfId="0" applyFont="1" applyFill="1" applyBorder="1" applyAlignment="1" applyProtection="1">
      <alignment horizontal="left"/>
    </xf>
    <xf numFmtId="0" fontId="16" fillId="0" borderId="1" xfId="0" applyFont="1" applyFill="1" applyBorder="1" applyAlignment="1" applyProtection="1">
      <alignment horizontal="left"/>
    </xf>
    <xf numFmtId="0" fontId="34" fillId="0" borderId="34" xfId="0" applyFont="1" applyBorder="1" applyAlignment="1">
      <alignment horizontal="left" vertical="top" wrapText="1"/>
    </xf>
    <xf numFmtId="0" fontId="34" fillId="0" borderId="35" xfId="0" applyFont="1" applyBorder="1" applyAlignment="1">
      <alignment horizontal="left" vertical="top" wrapText="1"/>
    </xf>
    <xf numFmtId="0" fontId="16" fillId="0" borderId="24" xfId="0" applyFont="1" applyBorder="1" applyAlignment="1">
      <alignment horizontal="left" vertical="top" wrapText="1"/>
    </xf>
    <xf numFmtId="0" fontId="16" fillId="0" borderId="25" xfId="0" applyFont="1" applyBorder="1" applyAlignment="1">
      <alignment horizontal="left" vertical="top" wrapText="1"/>
    </xf>
    <xf numFmtId="0" fontId="16" fillId="0" borderId="15" xfId="0" applyFont="1" applyBorder="1" applyAlignment="1" applyProtection="1">
      <alignment horizontal="left" vertical="top" wrapText="1"/>
    </xf>
    <xf numFmtId="0" fontId="16" fillId="0" borderId="17" xfId="0" applyFont="1" applyBorder="1" applyAlignment="1" applyProtection="1">
      <alignment horizontal="left" vertical="top" wrapText="1"/>
    </xf>
    <xf numFmtId="0" fontId="16" fillId="0" borderId="20" xfId="0" applyFont="1" applyFill="1" applyBorder="1" applyAlignment="1">
      <alignment horizontal="left"/>
    </xf>
    <xf numFmtId="0" fontId="16" fillId="0" borderId="21" xfId="0" applyFont="1" applyFill="1" applyBorder="1" applyAlignment="1">
      <alignment horizontal="left"/>
    </xf>
    <xf numFmtId="0" fontId="16" fillId="0" borderId="34" xfId="0" applyFont="1" applyBorder="1" applyAlignment="1" applyProtection="1">
      <alignment horizontal="left" wrapText="1"/>
    </xf>
    <xf numFmtId="0" fontId="16" fillId="0" borderId="35" xfId="0" applyFont="1" applyBorder="1" applyAlignment="1" applyProtection="1">
      <alignment horizontal="left" wrapText="1"/>
    </xf>
    <xf numFmtId="0" fontId="16" fillId="0" borderId="34" xfId="0" applyFont="1" applyBorder="1" applyAlignment="1" applyProtection="1">
      <alignment horizontal="left"/>
    </xf>
    <xf numFmtId="0" fontId="16" fillId="0" borderId="35" xfId="0" applyFont="1" applyBorder="1" applyAlignment="1" applyProtection="1">
      <alignment horizontal="left"/>
    </xf>
    <xf numFmtId="0" fontId="16" fillId="0" borderId="22" xfId="0" applyFont="1" applyFill="1" applyBorder="1" applyAlignment="1" applyProtection="1">
      <alignment horizontal="left"/>
    </xf>
    <xf numFmtId="0" fontId="16" fillId="0" borderId="23" xfId="0" applyFont="1" applyFill="1" applyBorder="1" applyAlignment="1" applyProtection="1">
      <alignment horizontal="left"/>
    </xf>
    <xf numFmtId="0" fontId="16" fillId="0" borderId="34" xfId="0" applyFont="1" applyBorder="1" applyAlignment="1" applyProtection="1">
      <alignment horizontal="left" vertical="top" wrapText="1"/>
    </xf>
    <xf numFmtId="0" fontId="16" fillId="0" borderId="35" xfId="0" applyFont="1" applyBorder="1" applyAlignment="1" applyProtection="1">
      <alignment horizontal="left" vertical="top" wrapText="1"/>
    </xf>
    <xf numFmtId="0" fontId="16" fillId="0" borderId="34" xfId="0" applyFont="1" applyFill="1" applyBorder="1" applyAlignment="1" applyProtection="1">
      <alignment horizontal="left" vertical="top" wrapText="1"/>
    </xf>
    <xf numFmtId="0" fontId="16" fillId="0" borderId="35" xfId="0" applyFont="1" applyFill="1" applyBorder="1" applyAlignment="1" applyProtection="1">
      <alignment horizontal="left" vertical="top" wrapText="1"/>
    </xf>
    <xf numFmtId="0" fontId="16" fillId="0" borderId="16" xfId="0" applyFont="1" applyBorder="1" applyAlignment="1" applyProtection="1">
      <alignment horizontal="left" vertical="top" wrapText="1"/>
    </xf>
    <xf numFmtId="0" fontId="16" fillId="0" borderId="1" xfId="0" applyFont="1" applyBorder="1" applyAlignment="1" applyProtection="1">
      <alignment horizontal="left" vertical="top" wrapText="1"/>
    </xf>
    <xf numFmtId="0" fontId="16" fillId="0" borderId="34" xfId="0" applyFont="1" applyBorder="1" applyAlignment="1">
      <alignment horizontal="left" vertical="top"/>
    </xf>
    <xf numFmtId="0" fontId="16" fillId="0" borderId="35" xfId="0" applyFont="1" applyBorder="1" applyAlignment="1">
      <alignment horizontal="left" vertical="top"/>
    </xf>
    <xf numFmtId="0" fontId="16" fillId="0" borderId="22" xfId="0" applyFont="1" applyBorder="1" applyAlignment="1" applyProtection="1">
      <alignment horizontal="left"/>
    </xf>
    <xf numFmtId="0" fontId="16" fillId="0" borderId="23" xfId="0" applyFont="1" applyBorder="1" applyAlignment="1" applyProtection="1">
      <alignment horizontal="left"/>
    </xf>
    <xf numFmtId="0" fontId="41" fillId="0" borderId="15" xfId="0" applyFont="1" applyBorder="1" applyAlignment="1">
      <alignment horizontal="left" vertical="top" wrapText="1"/>
    </xf>
    <xf numFmtId="0" fontId="41" fillId="0" borderId="17" xfId="0" applyFont="1" applyBorder="1" applyAlignment="1">
      <alignment horizontal="left" vertical="top" wrapText="1"/>
    </xf>
    <xf numFmtId="0" fontId="16" fillId="0" borderId="16" xfId="0" applyFont="1" applyBorder="1" applyAlignment="1" applyProtection="1">
      <alignment horizontal="left" vertical="center"/>
    </xf>
    <xf numFmtId="0" fontId="16" fillId="0" borderId="1" xfId="0" applyFont="1" applyBorder="1" applyAlignment="1" applyProtection="1">
      <alignment horizontal="left" vertical="center"/>
    </xf>
    <xf numFmtId="0" fontId="16" fillId="0" borderId="24" xfId="0" applyFont="1" applyBorder="1" applyAlignment="1" applyProtection="1">
      <alignment horizontal="left"/>
    </xf>
    <xf numFmtId="0" fontId="16" fillId="0" borderId="25" xfId="0" applyFont="1" applyBorder="1" applyAlignment="1" applyProtection="1">
      <alignment horizontal="left"/>
    </xf>
    <xf numFmtId="0" fontId="16" fillId="0" borderId="20" xfId="0" applyFont="1" applyBorder="1" applyAlignment="1" applyProtection="1"/>
    <xf numFmtId="0" fontId="16" fillId="0" borderId="21" xfId="0" applyFont="1" applyBorder="1" applyAlignment="1" applyProtection="1"/>
    <xf numFmtId="0" fontId="48" fillId="0" borderId="0" xfId="0" applyFont="1" applyBorder="1" applyAlignment="1" applyProtection="1">
      <alignment horizontal="center"/>
    </xf>
    <xf numFmtId="0" fontId="23" fillId="4" borderId="9" xfId="0" applyFont="1" applyFill="1" applyBorder="1" applyAlignment="1" applyProtection="1">
      <alignment horizontal="center" vertical="center" wrapText="1"/>
    </xf>
    <xf numFmtId="0" fontId="0" fillId="0" borderId="0" xfId="0" applyBorder="1" applyAlignment="1">
      <alignment horizontal="center"/>
    </xf>
    <xf numFmtId="0" fontId="16" fillId="0" borderId="16" xfId="0" applyFont="1" applyBorder="1" applyAlignment="1">
      <alignment horizontal="left" vertical="top" wrapText="1"/>
    </xf>
    <xf numFmtId="0" fontId="16" fillId="0" borderId="1" xfId="0" applyFont="1" applyBorder="1" applyAlignment="1">
      <alignment horizontal="left" vertical="top" wrapText="1"/>
    </xf>
    <xf numFmtId="0" fontId="16" fillId="0" borderId="24" xfId="0" applyFont="1" applyBorder="1" applyAlignment="1" applyProtection="1">
      <alignment horizontal="left" vertical="top" wrapText="1"/>
    </xf>
    <xf numFmtId="0" fontId="16" fillId="0" borderId="25" xfId="0" applyFont="1" applyBorder="1" applyAlignment="1" applyProtection="1">
      <alignment horizontal="left" vertical="top" wrapText="1"/>
    </xf>
    <xf numFmtId="0" fontId="16" fillId="0" borderId="15" xfId="0" applyFont="1" applyBorder="1" applyAlignment="1">
      <alignment horizontal="center" wrapText="1"/>
    </xf>
    <xf numFmtId="0" fontId="16" fillId="0" borderId="17" xfId="0" applyFont="1" applyBorder="1" applyAlignment="1">
      <alignment horizontal="center" wrapText="1"/>
    </xf>
    <xf numFmtId="0" fontId="16" fillId="0" borderId="22" xfId="0" applyFont="1" applyBorder="1" applyAlignment="1">
      <alignment vertical="center"/>
    </xf>
    <xf numFmtId="0" fontId="16" fillId="0" borderId="23" xfId="0" applyFont="1" applyBorder="1" applyAlignment="1">
      <alignment vertical="center"/>
    </xf>
    <xf numFmtId="0" fontId="16" fillId="0" borderId="16" xfId="0" applyFont="1" applyFill="1" applyBorder="1" applyAlignment="1" applyProtection="1">
      <alignment horizontal="left" vertical="top" wrapText="1"/>
    </xf>
    <xf numFmtId="0" fontId="16" fillId="0" borderId="1" xfId="0" applyFont="1" applyFill="1" applyBorder="1" applyAlignment="1" applyProtection="1">
      <alignment horizontal="left" vertical="top" wrapText="1"/>
    </xf>
    <xf numFmtId="0" fontId="16" fillId="0" borderId="36" xfId="0" applyFont="1" applyBorder="1" applyAlignment="1">
      <alignment horizontal="left" vertical="top" wrapText="1"/>
    </xf>
    <xf numFmtId="0" fontId="17" fillId="0" borderId="31" xfId="0" applyFont="1" applyBorder="1" applyAlignment="1" applyProtection="1">
      <alignment horizontal="center" vertical="center" wrapText="1"/>
      <protection locked="0"/>
    </xf>
    <xf numFmtId="0" fontId="17" fillId="0" borderId="37" xfId="0" applyFont="1" applyBorder="1" applyAlignment="1" applyProtection="1">
      <alignment horizontal="center" vertical="center" wrapText="1"/>
      <protection locked="0"/>
    </xf>
    <xf numFmtId="0" fontId="17" fillId="0" borderId="38" xfId="0" applyFont="1" applyBorder="1" applyAlignment="1" applyProtection="1">
      <alignment horizontal="center" vertical="center" wrapText="1"/>
      <protection locked="0"/>
    </xf>
    <xf numFmtId="0" fontId="17" fillId="0" borderId="32" xfId="0" applyFont="1" applyBorder="1" applyAlignment="1" applyProtection="1">
      <alignment horizontal="center" vertical="center" wrapText="1"/>
      <protection locked="0"/>
    </xf>
    <xf numFmtId="0" fontId="15" fillId="0" borderId="0" xfId="0" applyFont="1" applyFill="1" applyBorder="1" applyAlignment="1" applyProtection="1">
      <alignment horizontal="center" vertical="center" wrapText="1"/>
    </xf>
    <xf numFmtId="0" fontId="15" fillId="0" borderId="39" xfId="0" applyFont="1" applyFill="1" applyBorder="1" applyAlignment="1" applyProtection="1">
      <alignment horizontal="center" vertical="center" wrapText="1"/>
    </xf>
    <xf numFmtId="0" fontId="15" fillId="0" borderId="0" xfId="0" applyFont="1" applyAlignment="1">
      <alignment horizontal="center" vertical="top" wrapText="1"/>
    </xf>
    <xf numFmtId="0" fontId="15" fillId="0" borderId="0" xfId="0" applyFont="1" applyAlignment="1">
      <alignment vertical="top" wrapText="1"/>
    </xf>
    <xf numFmtId="0" fontId="17" fillId="0" borderId="17" xfId="0" applyFont="1" applyBorder="1" applyAlignment="1" applyProtection="1">
      <alignment vertical="center" wrapText="1"/>
      <protection locked="0"/>
    </xf>
    <xf numFmtId="0" fontId="17" fillId="0" borderId="21" xfId="0" applyFont="1" applyBorder="1" applyAlignment="1" applyProtection="1">
      <alignment vertical="center" wrapText="1"/>
      <protection locked="0"/>
    </xf>
    <xf numFmtId="0" fontId="17" fillId="0" borderId="15" xfId="0" applyFont="1" applyBorder="1" applyAlignment="1" applyProtection="1">
      <alignment horizontal="center" vertical="center" wrapText="1"/>
      <protection locked="0"/>
    </xf>
    <xf numFmtId="0" fontId="17" fillId="0" borderId="20" xfId="0" applyFont="1" applyBorder="1" applyAlignment="1" applyProtection="1">
      <alignment horizontal="center" vertical="center" wrapText="1"/>
      <protection locked="0"/>
    </xf>
    <xf numFmtId="0" fontId="17" fillId="0" borderId="17" xfId="0" applyFont="1" applyBorder="1" applyAlignment="1" applyProtection="1">
      <alignment horizontal="center" vertical="center" wrapText="1"/>
    </xf>
    <xf numFmtId="0" fontId="17" fillId="0" borderId="21" xfId="0" applyFont="1" applyBorder="1" applyAlignment="1" applyProtection="1">
      <alignment horizontal="center" vertical="center" wrapText="1"/>
    </xf>
    <xf numFmtId="0" fontId="14" fillId="0" borderId="1" xfId="0" applyFont="1" applyBorder="1" applyAlignment="1" applyProtection="1">
      <alignment horizontal="left" vertical="top" wrapText="1"/>
    </xf>
    <xf numFmtId="0" fontId="14" fillId="0" borderId="20" xfId="0" applyFont="1" applyFill="1" applyBorder="1" applyAlignment="1" applyProtection="1">
      <alignment horizontal="left"/>
    </xf>
    <xf numFmtId="0" fontId="14" fillId="0" borderId="21" xfId="0" applyFont="1" applyFill="1" applyBorder="1" applyAlignment="1" applyProtection="1">
      <alignment horizontal="left"/>
    </xf>
    <xf numFmtId="0" fontId="14" fillId="0" borderId="20" xfId="0" applyFont="1" applyBorder="1" applyAlignment="1" applyProtection="1">
      <alignment horizontal="left"/>
    </xf>
    <xf numFmtId="0" fontId="14" fillId="0" borderId="21" xfId="0" applyFont="1" applyBorder="1" applyAlignment="1" applyProtection="1">
      <alignment horizontal="left"/>
    </xf>
    <xf numFmtId="0" fontId="14" fillId="0" borderId="22" xfId="0" applyFont="1" applyFill="1" applyBorder="1" applyAlignment="1" applyProtection="1">
      <alignment horizontal="left"/>
    </xf>
    <xf numFmtId="0" fontId="14" fillId="0" borderId="23" xfId="0" applyFont="1" applyFill="1" applyBorder="1" applyAlignment="1" applyProtection="1">
      <alignment horizontal="left"/>
    </xf>
    <xf numFmtId="0" fontId="14" fillId="0" borderId="15" xfId="0" applyFont="1" applyBorder="1" applyAlignment="1">
      <alignment horizontal="left" vertical="top" wrapText="1"/>
    </xf>
    <xf numFmtId="0" fontId="14" fillId="0" borderId="17" xfId="0" applyFont="1" applyBorder="1" applyAlignment="1">
      <alignment horizontal="left" vertical="top" wrapText="1"/>
    </xf>
    <xf numFmtId="0" fontId="14" fillId="0" borderId="8" xfId="0" applyFont="1" applyFill="1" applyBorder="1" applyAlignment="1" applyProtection="1">
      <alignment horizontal="center" vertical="center" wrapText="1"/>
    </xf>
    <xf numFmtId="0" fontId="14" fillId="0" borderId="9" xfId="0" applyFont="1" applyFill="1" applyBorder="1" applyAlignment="1" applyProtection="1">
      <alignment horizontal="center" vertical="center" wrapText="1"/>
    </xf>
    <xf numFmtId="0" fontId="14" fillId="0" borderId="22" xfId="0" applyFont="1" applyBorder="1" applyAlignment="1" applyProtection="1">
      <alignment horizontal="left"/>
    </xf>
    <xf numFmtId="0" fontId="14" fillId="0" borderId="23" xfId="0" applyFont="1" applyBorder="1" applyAlignment="1" applyProtection="1">
      <alignment horizontal="left"/>
    </xf>
    <xf numFmtId="0" fontId="15" fillId="0" borderId="15" xfId="0" applyFont="1" applyBorder="1" applyAlignment="1">
      <alignment horizontal="left" vertical="top" wrapText="1"/>
    </xf>
    <xf numFmtId="0" fontId="15" fillId="0" borderId="17" xfId="0" applyFont="1" applyBorder="1" applyAlignment="1">
      <alignment horizontal="left" vertical="top" wrapText="1"/>
    </xf>
    <xf numFmtId="0" fontId="15" fillId="0" borderId="34" xfId="0" applyFont="1" applyBorder="1" applyAlignment="1">
      <alignment horizontal="left" vertical="top" wrapText="1"/>
    </xf>
    <xf numFmtId="0" fontId="15" fillId="0" borderId="35" xfId="0" applyFont="1" applyBorder="1" applyAlignment="1">
      <alignment horizontal="left" vertical="top" wrapText="1"/>
    </xf>
    <xf numFmtId="0" fontId="27" fillId="4" borderId="38" xfId="0" applyFont="1" applyFill="1" applyBorder="1" applyAlignment="1" applyProtection="1">
      <alignment horizontal="center" vertical="center" wrapText="1"/>
    </xf>
    <xf numFmtId="0" fontId="14" fillId="0" borderId="34" xfId="0" applyFont="1" applyBorder="1" applyAlignment="1">
      <alignment horizontal="left" vertical="top" wrapText="1"/>
    </xf>
    <xf numFmtId="0" fontId="14" fillId="0" borderId="35" xfId="0" applyFont="1" applyBorder="1" applyAlignment="1">
      <alignment horizontal="left" vertical="top" wrapText="1"/>
    </xf>
    <xf numFmtId="0" fontId="49" fillId="0" borderId="15" xfId="0" applyFont="1" applyBorder="1" applyAlignment="1">
      <alignment horizontal="left" vertical="top" wrapText="1"/>
    </xf>
    <xf numFmtId="0" fontId="49" fillId="0" borderId="17" xfId="0" applyFont="1" applyBorder="1" applyAlignment="1">
      <alignment horizontal="left" vertical="top" wrapText="1"/>
    </xf>
    <xf numFmtId="0" fontId="18" fillId="0" borderId="0" xfId="0" applyFont="1" applyAlignment="1">
      <alignment horizontal="center"/>
    </xf>
    <xf numFmtId="0" fontId="0" fillId="0" borderId="0" xfId="0" applyAlignment="1"/>
    <xf numFmtId="0" fontId="15" fillId="0" borderId="0" xfId="0" applyFont="1" applyBorder="1" applyAlignment="1">
      <alignment horizontal="justify"/>
    </xf>
    <xf numFmtId="0" fontId="0" fillId="0" borderId="0" xfId="0" applyBorder="1" applyAlignment="1"/>
    <xf numFmtId="0" fontId="15" fillId="0" borderId="0" xfId="0" applyFont="1" applyBorder="1" applyAlignment="1">
      <alignment horizontal="left" vertical="top" wrapText="1"/>
    </xf>
    <xf numFmtId="0" fontId="15" fillId="0" borderId="0" xfId="0" applyFont="1" applyAlignment="1">
      <alignment horizontal="left" vertical="top" wrapText="1"/>
    </xf>
    <xf numFmtId="0" fontId="0" fillId="0" borderId="0" xfId="0" applyAlignment="1">
      <alignment horizontal="center" vertical="center" wrapText="1"/>
    </xf>
    <xf numFmtId="0" fontId="43" fillId="0" borderId="17" xfId="0" applyFont="1" applyBorder="1" applyAlignment="1">
      <alignment horizontal="center" vertical="center" wrapText="1"/>
    </xf>
    <xf numFmtId="0" fontId="43" fillId="0" borderId="15" xfId="0" applyFont="1" applyBorder="1" applyAlignment="1">
      <alignment horizontal="center" vertical="center" wrapText="1"/>
    </xf>
    <xf numFmtId="0" fontId="43" fillId="0" borderId="16" xfId="0" applyFont="1" applyBorder="1" applyAlignment="1">
      <alignment horizontal="center" vertical="center" wrapText="1"/>
    </xf>
    <xf numFmtId="0" fontId="43" fillId="0" borderId="20" xfId="0" applyFont="1" applyBorder="1" applyAlignment="1">
      <alignment horizontal="center" vertical="center" wrapText="1"/>
    </xf>
    <xf numFmtId="0" fontId="43" fillId="0" borderId="1" xfId="0" applyFont="1" applyBorder="1" applyAlignment="1">
      <alignment horizontal="center" vertical="center" wrapText="1"/>
    </xf>
    <xf numFmtId="0" fontId="43" fillId="0" borderId="21" xfId="0" applyFont="1" applyBorder="1" applyAlignment="1">
      <alignment horizontal="center" vertical="center" wrapText="1"/>
    </xf>
    <xf numFmtId="0" fontId="43" fillId="0" borderId="12" xfId="0" applyFont="1" applyBorder="1" applyAlignment="1">
      <alignment horizontal="center" vertical="center" wrapText="1"/>
    </xf>
    <xf numFmtId="0" fontId="43" fillId="0" borderId="6" xfId="0" applyFont="1" applyBorder="1" applyAlignment="1">
      <alignment horizontal="center" vertical="center" wrapText="1"/>
    </xf>
    <xf numFmtId="0" fontId="43" fillId="0" borderId="5" xfId="0" applyFont="1" applyBorder="1" applyAlignment="1">
      <alignment horizontal="center" vertical="center" wrapText="1"/>
    </xf>
    <xf numFmtId="0" fontId="0" fillId="0" borderId="1" xfId="0" applyBorder="1" applyAlignment="1">
      <alignment horizontal="center" wrapText="1"/>
    </xf>
    <xf numFmtId="0" fontId="15" fillId="0" borderId="7" xfId="0" applyFont="1" applyBorder="1" applyAlignment="1">
      <alignment horizontal="left" vertical="top" wrapText="1"/>
    </xf>
    <xf numFmtId="0" fontId="15" fillId="0" borderId="0" xfId="0" applyFont="1" applyAlignment="1">
      <alignment horizontal="left" wrapText="1"/>
    </xf>
    <xf numFmtId="0" fontId="0" fillId="0" borderId="2" xfId="0" applyBorder="1" applyAlignment="1">
      <alignment horizontal="center" vertical="center"/>
    </xf>
    <xf numFmtId="0" fontId="0" fillId="0" borderId="4" xfId="0" applyBorder="1" applyAlignment="1">
      <alignment horizontal="center" vertical="center"/>
    </xf>
    <xf numFmtId="0" fontId="18" fillId="0" borderId="0" xfId="0" applyFont="1" applyAlignment="1">
      <alignment horizontal="left" vertical="top" wrapText="1"/>
    </xf>
    <xf numFmtId="0" fontId="24" fillId="0" borderId="0" xfId="0" applyFont="1" applyBorder="1" applyAlignment="1">
      <alignment horizontal="left" vertical="top" wrapText="1"/>
    </xf>
    <xf numFmtId="0" fontId="20" fillId="0" borderId="0" xfId="0" applyFont="1" applyAlignment="1">
      <alignment horizontal="left"/>
    </xf>
    <xf numFmtId="0" fontId="0" fillId="0" borderId="1" xfId="0" applyBorder="1" applyAlignment="1">
      <alignment horizontal="center"/>
    </xf>
    <xf numFmtId="0" fontId="12" fillId="0" borderId="0" xfId="0" applyFont="1" applyAlignment="1">
      <alignment horizontal="center"/>
    </xf>
    <xf numFmtId="0" fontId="0" fillId="0" borderId="1" xfId="0" applyBorder="1" applyAlignment="1">
      <alignment horizontal="center" vertical="center"/>
    </xf>
    <xf numFmtId="0" fontId="0" fillId="0" borderId="40" xfId="0" applyBorder="1" applyAlignment="1">
      <alignment horizontal="left"/>
    </xf>
    <xf numFmtId="0" fontId="0" fillId="0" borderId="41" xfId="0" applyBorder="1" applyAlignment="1">
      <alignment horizontal="left"/>
    </xf>
    <xf numFmtId="0" fontId="0" fillId="0" borderId="25" xfId="0" applyBorder="1" applyAlignment="1">
      <alignment horizontal="left"/>
    </xf>
    <xf numFmtId="0" fontId="50" fillId="0" borderId="40" xfId="0" applyFont="1" applyBorder="1" applyAlignment="1">
      <alignment horizontal="left"/>
    </xf>
    <xf numFmtId="0" fontId="50" fillId="0" borderId="41" xfId="0" applyFont="1" applyBorder="1" applyAlignment="1">
      <alignment horizontal="left"/>
    </xf>
    <xf numFmtId="0" fontId="50" fillId="0" borderId="25" xfId="0" applyFont="1" applyBorder="1" applyAlignment="1">
      <alignment horizontal="left"/>
    </xf>
    <xf numFmtId="0" fontId="12" fillId="0" borderId="40" xfId="0" applyFont="1" applyBorder="1" applyAlignment="1">
      <alignment horizontal="center"/>
    </xf>
    <xf numFmtId="0" fontId="12" fillId="0" borderId="41" xfId="0" applyFont="1" applyBorder="1" applyAlignment="1">
      <alignment horizontal="center"/>
    </xf>
    <xf numFmtId="0" fontId="12" fillId="0" borderId="25" xfId="0" applyFont="1" applyBorder="1" applyAlignment="1">
      <alignment horizont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50" fillId="0" borderId="42" xfId="0" applyFont="1" applyBorder="1" applyAlignment="1">
      <alignment horizontal="center" vertical="center" wrapText="1"/>
    </xf>
    <xf numFmtId="0" fontId="50" fillId="0" borderId="43" xfId="0" applyFont="1" applyBorder="1" applyAlignment="1">
      <alignment horizontal="center" vertical="center" wrapText="1"/>
    </xf>
    <xf numFmtId="0" fontId="50" fillId="0" borderId="44" xfId="0" applyFont="1" applyBorder="1" applyAlignment="1">
      <alignment horizontal="center" vertical="center" wrapText="1"/>
    </xf>
    <xf numFmtId="0" fontId="50" fillId="0" borderId="45" xfId="0" applyFont="1" applyBorder="1" applyAlignment="1">
      <alignment horizontal="center" vertical="center" wrapText="1"/>
    </xf>
    <xf numFmtId="0" fontId="50" fillId="0" borderId="39" xfId="0" applyFont="1" applyBorder="1" applyAlignment="1">
      <alignment horizontal="center" vertical="center" wrapText="1"/>
    </xf>
    <xf numFmtId="0" fontId="50" fillId="0" borderId="33"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9"/>
  <sheetViews>
    <sheetView topLeftCell="A17" zoomScale="110" zoomScaleNormal="110" workbookViewId="0">
      <selection activeCell="J12" sqref="J12"/>
    </sheetView>
  </sheetViews>
  <sheetFormatPr defaultRowHeight="15" x14ac:dyDescent="0.25"/>
  <cols>
    <col min="1" max="1" width="5" style="4" customWidth="1"/>
    <col min="2" max="2" width="10.5703125" style="4" customWidth="1"/>
    <col min="3" max="3" width="22.42578125" style="17" customWidth="1"/>
    <col min="4" max="4" width="32" customWidth="1"/>
    <col min="5" max="6" width="9.140625" style="8" customWidth="1"/>
    <col min="8" max="8" width="13.5703125" customWidth="1"/>
  </cols>
  <sheetData>
    <row r="1" spans="1:8" ht="21" x14ac:dyDescent="0.35">
      <c r="A1" s="89" t="s">
        <v>522</v>
      </c>
      <c r="B1" s="90"/>
      <c r="C1" s="91"/>
      <c r="D1" s="92"/>
      <c r="E1" s="93"/>
      <c r="F1" s="93"/>
      <c r="G1" s="94"/>
      <c r="H1" s="94"/>
    </row>
    <row r="2" spans="1:8" ht="21" x14ac:dyDescent="0.35">
      <c r="A2" s="95"/>
      <c r="B2" s="90"/>
      <c r="C2" s="91"/>
      <c r="D2" s="92"/>
      <c r="E2" s="93"/>
      <c r="F2" s="93"/>
      <c r="G2" s="94"/>
      <c r="H2" s="94"/>
    </row>
    <row r="3" spans="1:8" ht="15.75" x14ac:dyDescent="0.25">
      <c r="A3" s="96" t="s">
        <v>183</v>
      </c>
      <c r="B3" s="97"/>
      <c r="C3" s="98"/>
      <c r="D3" s="94"/>
      <c r="E3" s="99"/>
      <c r="F3" s="99"/>
      <c r="G3" s="94"/>
      <c r="H3" s="94"/>
    </row>
    <row r="4" spans="1:8" ht="15.75" x14ac:dyDescent="0.25">
      <c r="A4" s="100"/>
      <c r="B4" s="97"/>
      <c r="C4" s="98"/>
      <c r="D4" s="94"/>
      <c r="E4" s="99"/>
      <c r="F4" s="99"/>
      <c r="G4" s="94"/>
      <c r="H4" s="94"/>
    </row>
    <row r="5" spans="1:8" ht="18" customHeight="1" x14ac:dyDescent="0.25">
      <c r="A5" s="494" t="s">
        <v>194</v>
      </c>
      <c r="B5" s="494"/>
      <c r="C5" s="494"/>
      <c r="D5" s="463" t="s">
        <v>1082</v>
      </c>
      <c r="E5" s="101"/>
      <c r="F5" s="101"/>
      <c r="G5" s="94"/>
      <c r="H5" s="94"/>
    </row>
    <row r="6" spans="1:8" ht="15" customHeight="1" x14ac:dyDescent="0.25">
      <c r="A6" s="494" t="s">
        <v>195</v>
      </c>
      <c r="B6" s="494"/>
      <c r="C6" s="494"/>
      <c r="D6" s="465" t="s">
        <v>1083</v>
      </c>
      <c r="E6" s="102"/>
      <c r="F6" s="102"/>
      <c r="G6" s="94"/>
      <c r="H6" s="94"/>
    </row>
    <row r="7" spans="1:8" ht="15" customHeight="1" x14ac:dyDescent="0.25">
      <c r="A7" s="494" t="s">
        <v>196</v>
      </c>
      <c r="B7" s="494"/>
      <c r="C7" s="494"/>
      <c r="D7" s="465" t="s">
        <v>1084</v>
      </c>
      <c r="E7" s="102"/>
      <c r="F7" s="102"/>
      <c r="G7" s="94"/>
      <c r="H7" s="94"/>
    </row>
    <row r="8" spans="1:8" ht="15" customHeight="1" x14ac:dyDescent="0.25">
      <c r="A8" s="494" t="s">
        <v>197</v>
      </c>
      <c r="B8" s="494"/>
      <c r="C8" s="494"/>
      <c r="D8" s="465" t="s">
        <v>1085</v>
      </c>
      <c r="E8" s="102"/>
      <c r="F8" s="102"/>
      <c r="G8" s="94"/>
      <c r="H8" s="94"/>
    </row>
    <row r="9" spans="1:8" ht="15" customHeight="1" x14ac:dyDescent="0.25">
      <c r="A9" s="494" t="s">
        <v>0</v>
      </c>
      <c r="B9" s="494"/>
      <c r="C9" s="494"/>
      <c r="D9" s="465" t="s">
        <v>1086</v>
      </c>
      <c r="E9" s="102"/>
      <c r="F9" s="102"/>
      <c r="G9" s="94"/>
      <c r="H9" s="94"/>
    </row>
    <row r="10" spans="1:8" ht="15.75" x14ac:dyDescent="0.25">
      <c r="A10" s="100"/>
      <c r="B10" s="97"/>
      <c r="C10" s="98"/>
      <c r="D10" s="94"/>
      <c r="E10" s="99"/>
      <c r="F10" s="99"/>
      <c r="G10" s="94"/>
      <c r="H10" s="94"/>
    </row>
    <row r="11" spans="1:8" ht="6" customHeight="1" thickBot="1" x14ac:dyDescent="0.3">
      <c r="A11" s="97"/>
      <c r="B11" s="97"/>
      <c r="C11" s="98"/>
      <c r="D11" s="94"/>
      <c r="E11" s="99"/>
      <c r="F11" s="99"/>
      <c r="G11" s="94"/>
      <c r="H11" s="94"/>
    </row>
    <row r="12" spans="1:8" ht="51" customHeight="1" thickBot="1" x14ac:dyDescent="0.3">
      <c r="A12" s="487" t="s">
        <v>1</v>
      </c>
      <c r="B12" s="488" t="s">
        <v>2</v>
      </c>
      <c r="C12" s="488" t="s">
        <v>3</v>
      </c>
      <c r="D12" s="488" t="s">
        <v>4</v>
      </c>
      <c r="E12" s="489" t="s">
        <v>5</v>
      </c>
      <c r="F12" s="490" t="s">
        <v>6</v>
      </c>
      <c r="G12" s="94"/>
      <c r="H12" s="106" t="s">
        <v>336</v>
      </c>
    </row>
    <row r="13" spans="1:8" ht="65.25" customHeight="1" x14ac:dyDescent="0.25">
      <c r="A13" s="482">
        <v>1</v>
      </c>
      <c r="B13" s="483" t="s">
        <v>7</v>
      </c>
      <c r="C13" s="484" t="s">
        <v>184</v>
      </c>
      <c r="D13" s="484" t="str">
        <f>'hitung F1'!G4</f>
        <v>Visi PS:</v>
      </c>
      <c r="E13" s="485">
        <v>1.04</v>
      </c>
      <c r="F13" s="486">
        <f>'hitung F1'!E9</f>
        <v>2</v>
      </c>
      <c r="G13" s="94"/>
      <c r="H13" s="107">
        <f>E13*F13</f>
        <v>2.08</v>
      </c>
    </row>
    <row r="14" spans="1:8" ht="60" customHeight="1" x14ac:dyDescent="0.25">
      <c r="A14" s="474">
        <v>2</v>
      </c>
      <c r="B14" s="468" t="s">
        <v>8</v>
      </c>
      <c r="C14" s="471" t="s">
        <v>9</v>
      </c>
      <c r="D14" s="469" t="str">
        <f>'hitung F1'!G11</f>
        <v>Sasaran …</v>
      </c>
      <c r="E14" s="470">
        <v>1.04</v>
      </c>
      <c r="F14" s="473">
        <f>'hitung F1'!E16</f>
        <v>1</v>
      </c>
      <c r="G14" s="94"/>
      <c r="H14" s="107">
        <f t="shared" ref="H14:H77" si="0">E14*F14</f>
        <v>1.04</v>
      </c>
    </row>
    <row r="15" spans="1:8" ht="119.25" customHeight="1" x14ac:dyDescent="0.25">
      <c r="A15" s="474">
        <v>3</v>
      </c>
      <c r="B15" s="468">
        <v>1.2</v>
      </c>
      <c r="C15" s="469" t="s">
        <v>10</v>
      </c>
      <c r="D15" s="469" t="str">
        <f>'hitung F1'!G18</f>
        <v>Sosialisasi dilakukan dengan …</v>
      </c>
      <c r="E15" s="470">
        <v>1.04</v>
      </c>
      <c r="F15" s="473">
        <f>'hitung F1'!E23</f>
        <v>2</v>
      </c>
      <c r="G15" s="94"/>
      <c r="H15" s="107">
        <f t="shared" si="0"/>
        <v>2.08</v>
      </c>
    </row>
    <row r="16" spans="1:8" ht="117" customHeight="1" x14ac:dyDescent="0.25">
      <c r="A16" s="474">
        <v>4</v>
      </c>
      <c r="B16" s="468">
        <v>2.1</v>
      </c>
      <c r="C16" s="469" t="s">
        <v>11</v>
      </c>
      <c r="D16" s="469" t="str">
        <f>'hitung F1'!G25</f>
        <v>Tata pamong …</v>
      </c>
      <c r="E16" s="470">
        <v>1.39</v>
      </c>
      <c r="F16" s="473">
        <f>'hitung F1'!E30</f>
        <v>2</v>
      </c>
      <c r="G16" s="94"/>
      <c r="H16" s="107">
        <f t="shared" si="0"/>
        <v>2.78</v>
      </c>
    </row>
    <row r="17" spans="1:8" ht="82.5" customHeight="1" x14ac:dyDescent="0.25">
      <c r="A17" s="474">
        <v>5</v>
      </c>
      <c r="B17" s="468">
        <v>2.2000000000000002</v>
      </c>
      <c r="C17" s="469" t="s">
        <v>12</v>
      </c>
      <c r="D17" s="469" t="str">
        <f>'hitung F1'!G32</f>
        <v>Kepemimpinan PS</v>
      </c>
      <c r="E17" s="470">
        <v>0.69</v>
      </c>
      <c r="F17" s="473">
        <f>'hitung F1'!E37</f>
        <v>2.5</v>
      </c>
      <c r="G17" s="94"/>
      <c r="H17" s="107">
        <f t="shared" si="0"/>
        <v>1.7249999999999999</v>
      </c>
    </row>
    <row r="18" spans="1:8" ht="90" customHeight="1" x14ac:dyDescent="0.25">
      <c r="A18" s="474">
        <v>6</v>
      </c>
      <c r="B18" s="468">
        <v>2.2999999999999998</v>
      </c>
      <c r="C18" s="472" t="s">
        <v>185</v>
      </c>
      <c r="D18" s="469" t="str">
        <f>'hitung F1'!G39</f>
        <v>Sistem pengelolaan PS</v>
      </c>
      <c r="E18" s="470">
        <v>1.39</v>
      </c>
      <c r="F18" s="473">
        <f>'hitung F1'!E45</f>
        <v>3</v>
      </c>
      <c r="G18" s="94"/>
      <c r="H18" s="107">
        <f t="shared" si="0"/>
        <v>4.17</v>
      </c>
    </row>
    <row r="19" spans="1:8" ht="32.25" customHeight="1" x14ac:dyDescent="0.25">
      <c r="A19" s="474">
        <v>7</v>
      </c>
      <c r="B19" s="468">
        <v>2.4</v>
      </c>
      <c r="C19" s="469" t="s">
        <v>13</v>
      </c>
      <c r="D19" s="469" t="str">
        <f>'hitung F1'!G47</f>
        <v>Pelaksanaan penjaminan mutu</v>
      </c>
      <c r="E19" s="470">
        <v>1.39</v>
      </c>
      <c r="F19" s="473">
        <f>'hitung F1'!E53</f>
        <v>2.5</v>
      </c>
      <c r="G19" s="94"/>
      <c r="H19" s="107">
        <f t="shared" si="0"/>
        <v>3.4749999999999996</v>
      </c>
    </row>
    <row r="20" spans="1:8" ht="33" customHeight="1" x14ac:dyDescent="0.25">
      <c r="A20" s="474">
        <v>8</v>
      </c>
      <c r="B20" s="468">
        <v>2.5</v>
      </c>
      <c r="C20" s="469" t="s">
        <v>14</v>
      </c>
      <c r="D20" s="469" t="str">
        <f>'hitung F1'!G55</f>
        <v xml:space="preserve">Umpan balik diperoleh </v>
      </c>
      <c r="E20" s="470">
        <v>0.69</v>
      </c>
      <c r="F20" s="473">
        <f>'hitung F1'!E61</f>
        <v>2</v>
      </c>
      <c r="G20" s="94"/>
      <c r="H20" s="107">
        <f t="shared" si="0"/>
        <v>1.38</v>
      </c>
    </row>
    <row r="21" spans="1:8" ht="57" customHeight="1" x14ac:dyDescent="0.25">
      <c r="A21" s="474">
        <v>9</v>
      </c>
      <c r="B21" s="468">
        <v>2.6</v>
      </c>
      <c r="C21" s="472" t="s">
        <v>186</v>
      </c>
      <c r="D21" s="469" t="str">
        <f>'hitung F1'!G63</f>
        <v>Upaya yang dilakukan untuk keberlanjutan PS:</v>
      </c>
      <c r="E21" s="470">
        <v>0.69</v>
      </c>
      <c r="F21" s="473">
        <f>'hitung F1'!E69</f>
        <v>3</v>
      </c>
      <c r="G21" s="94"/>
      <c r="H21" s="107">
        <f t="shared" si="0"/>
        <v>2.0699999999999998</v>
      </c>
    </row>
    <row r="22" spans="1:8" ht="57.75" customHeight="1" x14ac:dyDescent="0.25">
      <c r="A22" s="474">
        <v>10</v>
      </c>
      <c r="B22" s="468" t="s">
        <v>15</v>
      </c>
      <c r="C22" s="472" t="s">
        <v>16</v>
      </c>
      <c r="D22" s="469" t="str">
        <f>'hitung F1'!G71</f>
        <v>Jumlah calon yang ikut seleksi = 212,daya tampung PS = 200. Rasio calon mahasiswa yang ikut seleksi : daya tampung  = 001</v>
      </c>
      <c r="E22" s="470">
        <v>1.95</v>
      </c>
      <c r="F22" s="475">
        <f>'hitung F1'!E75</f>
        <v>2.0300000000000002</v>
      </c>
      <c r="G22" s="94"/>
      <c r="H22" s="107">
        <f t="shared" si="0"/>
        <v>3.9585000000000004</v>
      </c>
    </row>
    <row r="23" spans="1:8" ht="57" customHeight="1" x14ac:dyDescent="0.25">
      <c r="A23" s="474">
        <v>11</v>
      </c>
      <c r="B23" s="468" t="s">
        <v>17</v>
      </c>
      <c r="C23" s="472" t="s">
        <v>18</v>
      </c>
      <c r="D23" s="469" t="str">
        <f>'hitung F1'!G77</f>
        <v>Rasio mahasiswa baru reguler yang melakukan registrasi : calon mahasiswa baru reguler yang lulus seleksi = 95 / 161 = 001.</v>
      </c>
      <c r="E23" s="470">
        <v>0.65</v>
      </c>
      <c r="F23" s="475">
        <f>'hitung F1'!E81</f>
        <v>1.9432120674356699</v>
      </c>
      <c r="G23" s="94"/>
      <c r="H23" s="107">
        <f t="shared" si="0"/>
        <v>1.2630878438331854</v>
      </c>
    </row>
    <row r="24" spans="1:8" ht="38.25" x14ac:dyDescent="0.25">
      <c r="A24" s="474">
        <v>12</v>
      </c>
      <c r="B24" s="468" t="s">
        <v>19</v>
      </c>
      <c r="C24" s="472" t="s">
        <v>20</v>
      </c>
      <c r="D24" s="469" t="str">
        <f>'hitung F1'!G83</f>
        <v>Rasio mahasiswa baru transfer terhadap mahasiswa baru bukan transfer = 34 / 95 = 000</v>
      </c>
      <c r="E24" s="470">
        <v>0.65</v>
      </c>
      <c r="F24" s="475">
        <f>'hitung F1'!E87</f>
        <v>3.5684210526315789</v>
      </c>
      <c r="G24" s="94"/>
      <c r="H24" s="107">
        <f t="shared" si="0"/>
        <v>2.3194736842105264</v>
      </c>
    </row>
    <row r="25" spans="1:8" ht="45" customHeight="1" x14ac:dyDescent="0.25">
      <c r="A25" s="474">
        <v>13</v>
      </c>
      <c r="B25" s="468" t="s">
        <v>21</v>
      </c>
      <c r="C25" s="472" t="s">
        <v>22</v>
      </c>
      <c r="D25" s="469" t="str">
        <f>'hitung F1'!G89</f>
        <v>Rata-rata Indeks Prestasi Kumulatif (IPK) selama lima tahun terakhir = 003</v>
      </c>
      <c r="E25" s="470">
        <v>1.3</v>
      </c>
      <c r="F25" s="475">
        <f>'hitung F1'!E91</f>
        <v>3.3035294117647052</v>
      </c>
      <c r="G25" s="94"/>
      <c r="H25" s="107">
        <f t="shared" si="0"/>
        <v>4.2945882352941167</v>
      </c>
    </row>
    <row r="26" spans="1:8" ht="83.25" customHeight="1" x14ac:dyDescent="0.25">
      <c r="A26" s="474">
        <v>14</v>
      </c>
      <c r="B26" s="468" t="s">
        <v>23</v>
      </c>
      <c r="C26" s="472" t="s">
        <v>24</v>
      </c>
      <c r="D26" s="469" t="str">
        <f>'hitung F1'!G93</f>
        <v xml:space="preserve">Penerimaan mahasiswa non reguler </v>
      </c>
      <c r="E26" s="470">
        <v>0.65</v>
      </c>
      <c r="F26" s="475">
        <f>'hitung F1'!E99</f>
        <v>0</v>
      </c>
      <c r="G26" s="94"/>
      <c r="H26" s="107">
        <f t="shared" si="0"/>
        <v>0</v>
      </c>
    </row>
    <row r="27" spans="1:8" ht="51" x14ac:dyDescent="0.25">
      <c r="A27" s="474">
        <v>15</v>
      </c>
      <c r="B27" s="468" t="s">
        <v>25</v>
      </c>
      <c r="C27" s="472" t="s">
        <v>26</v>
      </c>
      <c r="D27" s="469" t="str">
        <f>'hitung F1'!G101</f>
        <v>Penghargaan atas prestasi mahasiswa di bidang nalar, minat, dan bakat:</v>
      </c>
      <c r="E27" s="470">
        <v>1.3</v>
      </c>
      <c r="F27" s="475">
        <f>'hitung F1'!E106</f>
        <v>1</v>
      </c>
      <c r="G27" s="94"/>
      <c r="H27" s="107">
        <f t="shared" si="0"/>
        <v>1.3</v>
      </c>
    </row>
    <row r="28" spans="1:8" ht="30.75" customHeight="1" x14ac:dyDescent="0.25">
      <c r="A28" s="474">
        <v>16</v>
      </c>
      <c r="B28" s="468" t="s">
        <v>27</v>
      </c>
      <c r="C28" s="472" t="s">
        <v>28</v>
      </c>
      <c r="D28" s="469" t="str">
        <f>'hitung F1'!G108</f>
        <v>Persentase kelulusan tepat waktu (KTW) = (8 / 75) x 100 = 011%.</v>
      </c>
      <c r="E28" s="470">
        <v>1.3</v>
      </c>
      <c r="F28" s="475">
        <f>'hitung F1'!E112</f>
        <v>1.6400000000000001</v>
      </c>
      <c r="G28" s="94"/>
      <c r="H28" s="107">
        <f t="shared" si="0"/>
        <v>2.1320000000000001</v>
      </c>
    </row>
    <row r="29" spans="1:8" ht="47.25" customHeight="1" x14ac:dyDescent="0.25">
      <c r="A29" s="474">
        <v>17</v>
      </c>
      <c r="B29" s="468" t="s">
        <v>29</v>
      </c>
      <c r="C29" s="472" t="s">
        <v>30</v>
      </c>
      <c r="D29" s="469" t="str">
        <f>'hitung F1'!G114</f>
        <v>Persentase mahasiswa yang DO atau mengundurkan diri = 13 / 82 = 016%</v>
      </c>
      <c r="E29" s="470">
        <v>0.65</v>
      </c>
      <c r="F29" s="475">
        <f>'hitung F1'!E119</f>
        <v>2.9893683552220138</v>
      </c>
      <c r="G29" s="94"/>
      <c r="H29" s="107">
        <f t="shared" si="0"/>
        <v>1.943089430894309</v>
      </c>
    </row>
    <row r="30" spans="1:8" ht="119.25" customHeight="1" x14ac:dyDescent="0.25">
      <c r="A30" s="474">
        <v>18</v>
      </c>
      <c r="B30" s="468" t="s">
        <v>31</v>
      </c>
      <c r="C30" s="469" t="s">
        <v>32</v>
      </c>
      <c r="D30" s="469" t="str">
        <f>'hitung F1'!G121</f>
        <v>Jenis layanan PS kepada mahasiswa antara lain:</v>
      </c>
      <c r="E30" s="470">
        <v>0.65</v>
      </c>
      <c r="F30" s="475">
        <f>'hitung F1'!E127</f>
        <v>3.5</v>
      </c>
      <c r="G30" s="94"/>
      <c r="H30" s="107">
        <f t="shared" si="0"/>
        <v>2.2749999999999999</v>
      </c>
    </row>
    <row r="31" spans="1:8" ht="33.75" customHeight="1" x14ac:dyDescent="0.25">
      <c r="A31" s="474">
        <v>19</v>
      </c>
      <c r="B31" s="468" t="s">
        <v>33</v>
      </c>
      <c r="C31" s="469" t="s">
        <v>34</v>
      </c>
      <c r="D31" s="469" t="str">
        <f>'hitung F1'!G129</f>
        <v>Kualitas layanan kepada mahasiswa …</v>
      </c>
      <c r="E31" s="470">
        <v>0.65</v>
      </c>
      <c r="F31" s="475">
        <f>'hitung F1'!E131</f>
        <v>2.6</v>
      </c>
      <c r="G31" s="94"/>
      <c r="H31" s="107">
        <f t="shared" si="0"/>
        <v>1.6900000000000002</v>
      </c>
    </row>
    <row r="32" spans="1:8" ht="31.5" customHeight="1" x14ac:dyDescent="0.25">
      <c r="A32" s="474">
        <v>20</v>
      </c>
      <c r="B32" s="468" t="s">
        <v>35</v>
      </c>
      <c r="C32" s="472" t="s">
        <v>36</v>
      </c>
      <c r="D32" s="469" t="str">
        <f>'hitung F1'!G133</f>
        <v>Upaya pelacakan dan perekaman data lulusan …</v>
      </c>
      <c r="E32" s="470">
        <v>0.65</v>
      </c>
      <c r="F32" s="475">
        <f>'hitung F1'!E139</f>
        <v>1</v>
      </c>
      <c r="G32" s="94"/>
      <c r="H32" s="107">
        <f t="shared" si="0"/>
        <v>0.65</v>
      </c>
    </row>
    <row r="33" spans="1:8" ht="89.25" x14ac:dyDescent="0.25">
      <c r="A33" s="474">
        <v>21</v>
      </c>
      <c r="B33" s="468" t="s">
        <v>37</v>
      </c>
      <c r="C33" s="472" t="s">
        <v>38</v>
      </c>
      <c r="D33" s="469" t="str">
        <f>'hitung F1'!G141</f>
        <v>Penggunaan hasil pelacakan untuk perbaikan …</v>
      </c>
      <c r="E33" s="470">
        <v>0.65</v>
      </c>
      <c r="F33" s="475">
        <f>'hitung F1'!E147</f>
        <v>1</v>
      </c>
      <c r="G33" s="94"/>
      <c r="H33" s="107">
        <f t="shared" si="0"/>
        <v>0.65</v>
      </c>
    </row>
    <row r="34" spans="1:8" ht="73.5" customHeight="1" x14ac:dyDescent="0.25">
      <c r="A34" s="474">
        <v>22</v>
      </c>
      <c r="B34" s="468" t="s">
        <v>39</v>
      </c>
      <c r="C34" s="472" t="s">
        <v>40</v>
      </c>
      <c r="D34" s="469" t="str">
        <f>'hitung F1'!G149</f>
        <v xml:space="preserve"> Pendapat pengguna terhadap kualitas alumni.Respon sangat baik = 071%, respon baik = 014%, respon cukup = 014%, dan respon kurang = 000%.</v>
      </c>
      <c r="E34" s="470">
        <v>1.3</v>
      </c>
      <c r="F34" s="475">
        <f>'hitung F1'!E155</f>
        <v>3.5714285714285716</v>
      </c>
      <c r="G34" s="94"/>
      <c r="H34" s="107">
        <f t="shared" si="0"/>
        <v>4.6428571428571432</v>
      </c>
    </row>
    <row r="35" spans="1:8" ht="46.5" customHeight="1" x14ac:dyDescent="0.25">
      <c r="A35" s="474">
        <v>23</v>
      </c>
      <c r="B35" s="468" t="s">
        <v>41</v>
      </c>
      <c r="C35" s="472" t="s">
        <v>42</v>
      </c>
      <c r="D35" s="469" t="str">
        <f>'hitung F1'!G157</f>
        <v>Rata-rata waktu tunggu lulusan untuk memperoleh pekerjaan yang pertama = 6 bulan.</v>
      </c>
      <c r="E35" s="470">
        <v>1.3</v>
      </c>
      <c r="F35" s="475">
        <f>'hitung F1'!E158</f>
        <v>3.2</v>
      </c>
      <c r="G35" s="94"/>
      <c r="H35" s="107">
        <f t="shared" si="0"/>
        <v>4.16</v>
      </c>
    </row>
    <row r="36" spans="1:8" ht="41.25" customHeight="1" x14ac:dyDescent="0.25">
      <c r="A36" s="474">
        <v>24</v>
      </c>
      <c r="B36" s="468" t="s">
        <v>43</v>
      </c>
      <c r="C36" s="472" t="s">
        <v>44</v>
      </c>
      <c r="D36" s="469" t="str">
        <f>'hitung F1'!G160</f>
        <v>Persentase lulusan yang bekerja sesuai dengan bidang keahliannya = 085%</v>
      </c>
      <c r="E36" s="470">
        <v>0.65</v>
      </c>
      <c r="F36" s="475">
        <f>'hitung F1'!E161</f>
        <v>4</v>
      </c>
      <c r="G36" s="94"/>
      <c r="H36" s="107">
        <f t="shared" si="0"/>
        <v>2.6</v>
      </c>
    </row>
    <row r="37" spans="1:8" ht="67.5" customHeight="1" x14ac:dyDescent="0.25">
      <c r="A37" s="474">
        <v>25</v>
      </c>
      <c r="B37" s="468" t="s">
        <v>45</v>
      </c>
      <c r="C37" s="472" t="s">
        <v>46</v>
      </c>
      <c r="D37" s="469" t="str">
        <f>'hitung F1'!G163</f>
        <v>Bentuk partisipasi lulusan dan alumni untuk kegiatan akademik:</v>
      </c>
      <c r="E37" s="470">
        <v>0.65</v>
      </c>
      <c r="F37" s="475">
        <f>'hitung F1'!E169</f>
        <v>1</v>
      </c>
      <c r="G37" s="94"/>
      <c r="H37" s="107">
        <f t="shared" si="0"/>
        <v>0.65</v>
      </c>
    </row>
    <row r="38" spans="1:8" ht="63.75" x14ac:dyDescent="0.25">
      <c r="A38" s="474">
        <v>26</v>
      </c>
      <c r="B38" s="468" t="s">
        <v>47</v>
      </c>
      <c r="C38" s="472" t="s">
        <v>48</v>
      </c>
      <c r="D38" s="469" t="str">
        <f>'hitung F1'!G171</f>
        <v>Bentuk partisipasi lulusan dan alumni untuk kegiatan non akademik:</v>
      </c>
      <c r="E38" s="470">
        <v>0.65</v>
      </c>
      <c r="F38" s="475">
        <f>'hitung F1'!E177</f>
        <v>1</v>
      </c>
      <c r="G38" s="94"/>
      <c r="H38" s="107">
        <f t="shared" si="0"/>
        <v>0.65</v>
      </c>
    </row>
    <row r="39" spans="1:8" ht="80.25" customHeight="1" x14ac:dyDescent="0.25">
      <c r="A39" s="474">
        <v>27</v>
      </c>
      <c r="B39" s="468">
        <v>4.0999999999999996</v>
      </c>
      <c r="C39" s="469" t="s">
        <v>49</v>
      </c>
      <c r="D39" s="469" t="str">
        <f>'hitung F1'!G179</f>
        <v>Pedoman tertulis tentang sistem seleksi, perekrutan, penempatan, pengembangan, retensi, dan pemberhentian dosen dan tenaga kependidikan…</v>
      </c>
      <c r="E39" s="470">
        <v>0.72</v>
      </c>
      <c r="F39" s="475">
        <f>'hitung F1'!E185</f>
        <v>3</v>
      </c>
      <c r="G39" s="94"/>
      <c r="H39" s="107">
        <f t="shared" si="0"/>
        <v>2.16</v>
      </c>
    </row>
    <row r="40" spans="1:8" ht="81" customHeight="1" x14ac:dyDescent="0.25">
      <c r="A40" s="474">
        <v>28</v>
      </c>
      <c r="B40" s="468" t="s">
        <v>50</v>
      </c>
      <c r="C40" s="469" t="s">
        <v>51</v>
      </c>
      <c r="D40" s="469" t="str">
        <f>'hitung F1'!G187</f>
        <v>Pedoman tertulis tentang sistem monitoring dan evaluasi, serta rekam jejak kinerja dosen dan tenaga kependidikan …</v>
      </c>
      <c r="E40" s="470">
        <v>0.72</v>
      </c>
      <c r="F40" s="475">
        <f>'hitung F1'!E193</f>
        <v>2</v>
      </c>
      <c r="G40" s="94"/>
      <c r="H40" s="107">
        <f t="shared" si="0"/>
        <v>1.44</v>
      </c>
    </row>
    <row r="41" spans="1:8" ht="81" customHeight="1" x14ac:dyDescent="0.25">
      <c r="A41" s="474">
        <v>29</v>
      </c>
      <c r="B41" s="468" t="s">
        <v>52</v>
      </c>
      <c r="C41" s="469" t="s">
        <v>53</v>
      </c>
      <c r="D41" s="469" t="str">
        <f>'hitung F1'!G195</f>
        <v>Pelaksanaan monitoring dan evaluasi kinerja dosen di bidang tridarma…</v>
      </c>
      <c r="E41" s="470">
        <v>1.43</v>
      </c>
      <c r="F41" s="475">
        <f>'hitung F1'!E201</f>
        <v>2</v>
      </c>
      <c r="G41" s="94"/>
      <c r="H41" s="107">
        <f t="shared" si="0"/>
        <v>2.86</v>
      </c>
    </row>
    <row r="42" spans="1:8" ht="67.5" customHeight="1" x14ac:dyDescent="0.25">
      <c r="A42" s="474">
        <v>30</v>
      </c>
      <c r="B42" s="468" t="s">
        <v>54</v>
      </c>
      <c r="C42" s="472" t="s">
        <v>55</v>
      </c>
      <c r="D42" s="469" t="str">
        <f>'hitung F1'!G203</f>
        <v>Jumlah dosen tetap = 6 (1 S1, 2 S2, 3 S3). Persentase dosen tetap berpendidikan (terakhir) S2 dan S3 yang bidang keahliannya sesuai dengan kompetensi PS = 083%</v>
      </c>
      <c r="E42" s="470">
        <v>1.43</v>
      </c>
      <c r="F42" s="475">
        <f>'hitung F1'!E210</f>
        <v>3.5555555555555562</v>
      </c>
      <c r="G42" s="94"/>
      <c r="H42" s="107">
        <f t="shared" si="0"/>
        <v>5.0844444444444452</v>
      </c>
    </row>
    <row r="43" spans="1:8" ht="68.25" customHeight="1" x14ac:dyDescent="0.25">
      <c r="A43" s="474">
        <v>31</v>
      </c>
      <c r="B43" s="468" t="s">
        <v>56</v>
      </c>
      <c r="C43" s="472" t="s">
        <v>57</v>
      </c>
      <c r="D43" s="469" t="str">
        <f>'hitung F1'!G212</f>
        <v>Persentase dosen tetap yang berpendidikan S3 yang bidang keahliannya sesuai dengan kompetensi PS = (1 / 6) x 100% = 017%</v>
      </c>
      <c r="E43" s="470">
        <v>2.15</v>
      </c>
      <c r="F43" s="475">
        <f>'hitung F1'!E216</f>
        <v>2.833333333333333</v>
      </c>
      <c r="G43" s="94"/>
      <c r="H43" s="107">
        <f t="shared" si="0"/>
        <v>6.0916666666666659</v>
      </c>
    </row>
    <row r="44" spans="1:8" ht="74.25" customHeight="1" x14ac:dyDescent="0.25">
      <c r="A44" s="474">
        <v>32</v>
      </c>
      <c r="B44" s="468" t="s">
        <v>58</v>
      </c>
      <c r="C44" s="472" t="s">
        <v>59</v>
      </c>
      <c r="D44" s="469" t="str">
        <f>'hitung F1'!G218</f>
        <v>Persentase dosen tetap yang memiliki jabatan lektor kepala dan guru besar yang bidang keahliannya sesuai dengan kompetensi PS = (2 / 6) x 100% = 033%</v>
      </c>
      <c r="E44" s="470">
        <v>1.43</v>
      </c>
      <c r="F44" s="475">
        <f>'hitung F1'!E222</f>
        <v>3.5</v>
      </c>
      <c r="G44" s="94"/>
      <c r="H44" s="107">
        <f t="shared" si="0"/>
        <v>5.0049999999999999</v>
      </c>
    </row>
    <row r="45" spans="1:8" ht="40.5" customHeight="1" x14ac:dyDescent="0.25">
      <c r="A45" s="474">
        <v>33</v>
      </c>
      <c r="B45" s="468" t="s">
        <v>60</v>
      </c>
      <c r="C45" s="472" t="s">
        <v>61</v>
      </c>
      <c r="D45" s="469" t="str">
        <f>'hitung F1'!G224</f>
        <v>Persentase dosen yang memiliki Sertifikat Pendidik Profesional = (3 / 11) x 100% = 027%</v>
      </c>
      <c r="E45" s="470">
        <v>0.72</v>
      </c>
      <c r="F45" s="475">
        <f>'hitung F1'!E228</f>
        <v>3.0454545454545454</v>
      </c>
      <c r="G45" s="94"/>
      <c r="H45" s="107">
        <f t="shared" si="0"/>
        <v>2.1927272727272724</v>
      </c>
    </row>
    <row r="46" spans="1:8" ht="58.5" customHeight="1" x14ac:dyDescent="0.25">
      <c r="A46" s="474">
        <v>34</v>
      </c>
      <c r="B46" s="468" t="s">
        <v>62</v>
      </c>
      <c r="C46" s="472" t="s">
        <v>63</v>
      </c>
      <c r="D46" s="469" t="str">
        <f>'hitung F1'!G232</f>
        <v>Jumlah dosen tetap = 6. Jumlah seluruh mahasiswa PS pada TS = 98. Rasio mahasiswa terhadap dosen tetap = 016</v>
      </c>
      <c r="E46" s="470">
        <v>0.72</v>
      </c>
      <c r="F46" s="475">
        <f>'hitung F1'!E240</f>
        <v>3.8431372549019605</v>
      </c>
      <c r="G46" s="94"/>
      <c r="H46" s="107">
        <f t="shared" si="0"/>
        <v>2.7670588235294113</v>
      </c>
    </row>
    <row r="47" spans="1:8" ht="57" customHeight="1" x14ac:dyDescent="0.25">
      <c r="A47" s="474">
        <v>35</v>
      </c>
      <c r="B47" s="468" t="s">
        <v>64</v>
      </c>
      <c r="C47" s="472" t="s">
        <v>187</v>
      </c>
      <c r="D47" s="469" t="str">
        <f>'hitung F1'!G243</f>
        <v>Rata-rata beban dosen per semester, atau rata-rata FTE (Fulltime Teaching Equivalent) = 15 sks.</v>
      </c>
      <c r="E47" s="470">
        <v>0.72</v>
      </c>
      <c r="F47" s="475">
        <f>'hitung F1'!E244</f>
        <v>3.25</v>
      </c>
      <c r="G47" s="94"/>
      <c r="H47" s="107">
        <f t="shared" si="0"/>
        <v>2.34</v>
      </c>
    </row>
    <row r="48" spans="1:8" ht="51" x14ac:dyDescent="0.25">
      <c r="A48" s="474">
        <v>36</v>
      </c>
      <c r="B48" s="468" t="s">
        <v>65</v>
      </c>
      <c r="C48" s="472" t="s">
        <v>66</v>
      </c>
      <c r="D48" s="469" t="str">
        <f>'hitung F1'!G246</f>
        <v>Sebagian besar dosen mengajar mata kuliah yang sesuai dengan bidang ilmunya.</v>
      </c>
      <c r="E48" s="470">
        <v>0.72</v>
      </c>
      <c r="F48" s="475">
        <f>'hitung F1'!E251</f>
        <v>1</v>
      </c>
      <c r="G48" s="467"/>
      <c r="H48" s="107">
        <f t="shared" si="0"/>
        <v>0.72</v>
      </c>
    </row>
    <row r="49" spans="1:8" ht="67.5" customHeight="1" x14ac:dyDescent="0.25">
      <c r="A49" s="474">
        <v>37</v>
      </c>
      <c r="B49" s="468" t="s">
        <v>65</v>
      </c>
      <c r="C49" s="472" t="s">
        <v>67</v>
      </c>
      <c r="D49" s="469" t="str">
        <f>'hitung F1'!G253</f>
        <v>Kehadiran dosen tetap dalam perkuliahan. Persentase kehadiran yang direalisasikan terhadap kehadiran yang direncanakan = 097%</v>
      </c>
      <c r="E49" s="470">
        <v>0.72</v>
      </c>
      <c r="F49" s="475">
        <f>'hitung F1'!E257</f>
        <v>4</v>
      </c>
      <c r="G49" s="94"/>
      <c r="H49" s="107">
        <f t="shared" si="0"/>
        <v>2.88</v>
      </c>
    </row>
    <row r="50" spans="1:8" ht="44.25" customHeight="1" x14ac:dyDescent="0.25">
      <c r="A50" s="474">
        <v>38</v>
      </c>
      <c r="B50" s="468" t="s">
        <v>68</v>
      </c>
      <c r="C50" s="472" t="s">
        <v>69</v>
      </c>
      <c r="D50" s="469" t="str">
        <f>'hitung F1'!G259</f>
        <v>Persentase jumlah dosen tidak tetap, terhadap jumlah seluruh dosen = (23 / 73) x 100% = 032%</v>
      </c>
      <c r="E50" s="470">
        <v>0.72</v>
      </c>
      <c r="F50" s="475">
        <f>'hitung F1'!E263</f>
        <v>1.849315068493151</v>
      </c>
      <c r="G50" s="94"/>
      <c r="H50" s="107">
        <f t="shared" si="0"/>
        <v>1.3315068493150686</v>
      </c>
    </row>
    <row r="51" spans="1:8" ht="44.25" customHeight="1" x14ac:dyDescent="0.25">
      <c r="A51" s="474">
        <v>39</v>
      </c>
      <c r="B51" s="468" t="s">
        <v>70</v>
      </c>
      <c r="C51" s="472" t="s">
        <v>71</v>
      </c>
      <c r="D51" s="469" t="str">
        <f>'hitung F1'!G265</f>
        <v>Sebagian besar dosen tidak tetap telah mengajar mata kuliah yang sesuai bidangnya.</v>
      </c>
      <c r="E51" s="470">
        <v>0.72</v>
      </c>
      <c r="F51" s="475">
        <f>'hitung F1'!E271</f>
        <v>3</v>
      </c>
      <c r="G51" s="94"/>
      <c r="H51" s="107">
        <f t="shared" si="0"/>
        <v>2.16</v>
      </c>
    </row>
    <row r="52" spans="1:8" ht="70.5" customHeight="1" x14ac:dyDescent="0.25">
      <c r="A52" s="474">
        <v>40</v>
      </c>
      <c r="B52" s="468" t="s">
        <v>72</v>
      </c>
      <c r="C52" s="472" t="s">
        <v>73</v>
      </c>
      <c r="D52" s="469" t="str">
        <f>'hitung F1'!G273</f>
        <v>Kehadiran dosen tidak tetap dalam perkuliahan. Persentase kehadiran yang direalisasikan terhadap kehadiran yang direncanakan = 098%</v>
      </c>
      <c r="E52" s="470">
        <v>0.72</v>
      </c>
      <c r="F52" s="475">
        <f>'hitung F1'!E277</f>
        <v>4</v>
      </c>
      <c r="G52" s="94"/>
      <c r="H52" s="107">
        <f t="shared" si="0"/>
        <v>2.88</v>
      </c>
    </row>
    <row r="53" spans="1:8" ht="93.75" customHeight="1" x14ac:dyDescent="0.25">
      <c r="A53" s="474">
        <v>41</v>
      </c>
      <c r="B53" s="468" t="s">
        <v>74</v>
      </c>
      <c r="C53" s="472" t="s">
        <v>75</v>
      </c>
      <c r="D53" s="469" t="str">
        <f>'hitung F1'!G279</f>
        <v>Jumlah tenaga ahli/pakar yang telah diundang sebagai pembicara dalam seminar/pelatihan, pembicara tamu = 5 orang.</v>
      </c>
      <c r="E53" s="470">
        <v>0.72</v>
      </c>
      <c r="F53" s="475">
        <f>'hitung F1'!E280</f>
        <v>2.25</v>
      </c>
      <c r="G53" s="94"/>
      <c r="H53" s="107">
        <f t="shared" si="0"/>
        <v>1.6199999999999999</v>
      </c>
    </row>
    <row r="54" spans="1:8" ht="80.25" customHeight="1" x14ac:dyDescent="0.25">
      <c r="A54" s="474">
        <v>42</v>
      </c>
      <c r="B54" s="468" t="s">
        <v>76</v>
      </c>
      <c r="C54" s="472" t="s">
        <v>77</v>
      </c>
      <c r="D54" s="469" t="str">
        <f>'hitung F1'!G282</f>
        <v>Jumlah dosen tugas belajar S2 sesuai bidang PS = 4 orang, dan S3 sesuai bidang PS = 0 orang.</v>
      </c>
      <c r="E54" s="470">
        <v>0.72</v>
      </c>
      <c r="F54" s="475">
        <f>'hitung F1'!E288</f>
        <v>3</v>
      </c>
      <c r="G54" s="94"/>
      <c r="H54" s="107">
        <f t="shared" si="0"/>
        <v>2.16</v>
      </c>
    </row>
    <row r="55" spans="1:8" ht="120.75" customHeight="1" x14ac:dyDescent="0.25">
      <c r="A55" s="474">
        <v>43</v>
      </c>
      <c r="B55" s="468" t="s">
        <v>78</v>
      </c>
      <c r="C55" s="472" t="s">
        <v>188</v>
      </c>
      <c r="D55" s="469" t="str">
        <f>'hitung F1'!G290</f>
        <v>Jumlah dosen tetap yang bidang keahliannya sesuai bidang PS = 6 orang. Jumlah kehadiran sebagai penyaji = 0 kali. Jumlah kehadiran sebagai peserta = 19 kali. SP = (0+19/4 ) = 001</v>
      </c>
      <c r="E55" s="470">
        <v>1.43</v>
      </c>
      <c r="F55" s="475">
        <f>'hitung F1'!E295</f>
        <v>1.7916666666666665</v>
      </c>
      <c r="G55" s="94"/>
      <c r="H55" s="107">
        <f t="shared" si="0"/>
        <v>2.5620833333333328</v>
      </c>
    </row>
    <row r="56" spans="1:8" ht="131.25" customHeight="1" x14ac:dyDescent="0.25">
      <c r="A56" s="474">
        <v>44</v>
      </c>
      <c r="B56" s="468" t="s">
        <v>79</v>
      </c>
      <c r="C56" s="472" t="s">
        <v>80</v>
      </c>
      <c r="D56" s="469" t="str">
        <f>'hitung F1'!G297</f>
        <v>Prestasi dalam mendapatkan penghargaan hibah dalam tiga tahun terakhir:</v>
      </c>
      <c r="E56" s="470">
        <v>1.43</v>
      </c>
      <c r="F56" s="475">
        <f>'hitung F1'!E303</f>
        <v>0</v>
      </c>
      <c r="G56" s="94"/>
      <c r="H56" s="107">
        <f t="shared" si="0"/>
        <v>0</v>
      </c>
    </row>
    <row r="57" spans="1:8" ht="55.5" customHeight="1" x14ac:dyDescent="0.25">
      <c r="A57" s="474">
        <v>45</v>
      </c>
      <c r="B57" s="468" t="s">
        <v>81</v>
      </c>
      <c r="C57" s="472" t="s">
        <v>82</v>
      </c>
      <c r="D57" s="469" t="str">
        <f>'hitung F1'!G305</f>
        <v>Persentase dosen yang menjadi anggota masyarakat bidang ilmu = 015%</v>
      </c>
      <c r="E57" s="470">
        <v>1.08</v>
      </c>
      <c r="F57" s="475">
        <f>'hitung F1'!E312</f>
        <v>0</v>
      </c>
      <c r="G57" s="94"/>
      <c r="H57" s="107">
        <f t="shared" si="0"/>
        <v>0</v>
      </c>
    </row>
    <row r="58" spans="1:8" ht="25.5" x14ac:dyDescent="0.25">
      <c r="A58" s="474">
        <v>46</v>
      </c>
      <c r="B58" s="468" t="s">
        <v>83</v>
      </c>
      <c r="C58" s="472" t="s">
        <v>84</v>
      </c>
      <c r="D58" s="469" t="str">
        <f>'hitung F1'!G314</f>
        <v>Jumlah pustakawan = 8 orang, dengan rincian sbb:</v>
      </c>
      <c r="E58" s="470">
        <v>0.72</v>
      </c>
      <c r="F58" s="475">
        <f>'hitung F1'!E319</f>
        <v>4</v>
      </c>
      <c r="G58" s="94"/>
      <c r="H58" s="107">
        <f t="shared" si="0"/>
        <v>2.88</v>
      </c>
    </row>
    <row r="59" spans="1:8" ht="51" x14ac:dyDescent="0.25">
      <c r="A59" s="474">
        <v>47</v>
      </c>
      <c r="B59" s="468" t="s">
        <v>85</v>
      </c>
      <c r="C59" s="472" t="s">
        <v>86</v>
      </c>
      <c r="D59" s="469" t="str">
        <f>'hitung F1'!G321</f>
        <v>Jumlah tenaga laboran = , teknisi = , operator = , dan programer = .</v>
      </c>
      <c r="E59" s="470">
        <v>0.72</v>
      </c>
      <c r="F59" s="475">
        <f>'hitung F1'!E326</f>
        <v>2</v>
      </c>
      <c r="G59" s="94"/>
      <c r="H59" s="107">
        <f t="shared" si="0"/>
        <v>1.44</v>
      </c>
    </row>
    <row r="60" spans="1:8" ht="28.5" customHeight="1" x14ac:dyDescent="0.25">
      <c r="A60" s="474">
        <v>48</v>
      </c>
      <c r="B60" s="468" t="s">
        <v>87</v>
      </c>
      <c r="C60" s="472" t="s">
        <v>88</v>
      </c>
      <c r="D60" s="469" t="str">
        <f>'hitung F1'!G328</f>
        <v>Jumlah tenaga administrasi = 2, dengan rincian sebagai berikut:</v>
      </c>
      <c r="E60" s="470">
        <v>0.72</v>
      </c>
      <c r="F60" s="475">
        <f>'hitung F1'!E334</f>
        <v>1.25</v>
      </c>
      <c r="G60" s="94"/>
      <c r="H60" s="107">
        <f t="shared" si="0"/>
        <v>0.89999999999999991</v>
      </c>
    </row>
    <row r="61" spans="1:8" ht="57" customHeight="1" x14ac:dyDescent="0.25">
      <c r="A61" s="474">
        <v>49</v>
      </c>
      <c r="B61" s="468" t="s">
        <v>89</v>
      </c>
      <c r="C61" s="472" t="s">
        <v>90</v>
      </c>
      <c r="D61" s="469" t="str">
        <f>'hitung F1'!G336</f>
        <v xml:space="preserve">Upaya yang telah dilakukan PS untuk meningkatkan kualifikasi dan kompetensi tenaga kependidikan antara lain: </v>
      </c>
      <c r="E61" s="470">
        <v>0.72</v>
      </c>
      <c r="F61" s="475">
        <f>'hitung F1'!E341</f>
        <v>4</v>
      </c>
      <c r="G61" s="94"/>
      <c r="H61" s="107">
        <f t="shared" si="0"/>
        <v>2.88</v>
      </c>
    </row>
    <row r="62" spans="1:8" ht="80.25" customHeight="1" x14ac:dyDescent="0.25">
      <c r="A62" s="474">
        <v>50</v>
      </c>
      <c r="B62" s="468" t="s">
        <v>91</v>
      </c>
      <c r="C62" s="469" t="s">
        <v>92</v>
      </c>
      <c r="D62" s="469" t="str">
        <f>'hitung F1'!G343</f>
        <v>Kelengkapan dan perumusan kompetensi dalam kurikulum:</v>
      </c>
      <c r="E62" s="470">
        <v>0.56999999999999995</v>
      </c>
      <c r="F62" s="475">
        <f>'hitung F1'!E349</f>
        <v>3</v>
      </c>
      <c r="G62" s="94"/>
      <c r="H62" s="107">
        <f t="shared" si="0"/>
        <v>1.71</v>
      </c>
    </row>
    <row r="63" spans="1:8" ht="38.25" x14ac:dyDescent="0.25">
      <c r="A63" s="474">
        <v>51</v>
      </c>
      <c r="B63" s="468" t="s">
        <v>93</v>
      </c>
      <c r="C63" s="469" t="s">
        <v>94</v>
      </c>
      <c r="D63" s="469" t="str">
        <f>'hitung F1'!G351</f>
        <v>Kesesuaian kurikulum dengan visi dan misi PS:</v>
      </c>
      <c r="E63" s="470">
        <v>0.56999999999999995</v>
      </c>
      <c r="F63" s="475">
        <f>'hitung F1'!E357</f>
        <v>2.5</v>
      </c>
      <c r="G63" s="94"/>
      <c r="H63" s="107">
        <f t="shared" si="0"/>
        <v>1.4249999999999998</v>
      </c>
    </row>
    <row r="64" spans="1:8" ht="42" customHeight="1" x14ac:dyDescent="0.25">
      <c r="A64" s="474">
        <v>52</v>
      </c>
      <c r="B64" s="468" t="s">
        <v>95</v>
      </c>
      <c r="C64" s="469" t="s">
        <v>96</v>
      </c>
      <c r="D64" s="469" t="str">
        <f>'hitung F1'!G359</f>
        <v>Kesesuaian mata kuliah dan urutannya dengan standar kompetensi PS:</v>
      </c>
      <c r="E64" s="470">
        <v>0.56999999999999995</v>
      </c>
      <c r="F64" s="475">
        <f>'hitung F1'!E365</f>
        <v>3</v>
      </c>
      <c r="G64" s="94"/>
      <c r="H64" s="107">
        <f t="shared" si="0"/>
        <v>1.71</v>
      </c>
    </row>
    <row r="65" spans="1:8" ht="81" customHeight="1" x14ac:dyDescent="0.25">
      <c r="A65" s="474">
        <v>53</v>
      </c>
      <c r="B65" s="468" t="s">
        <v>97</v>
      </c>
      <c r="C65" s="472" t="s">
        <v>182</v>
      </c>
      <c r="D65" s="469" t="str">
        <f>'hitung F1'!G367</f>
        <v>Persentase mata kuliah  yang dalam penentuan nilai akhirnya memberikan bobot pada tugas-tugas (prektikum/praktek, PR atau makalah) ≥ 20% = (98/100) x 100% = 098%</v>
      </c>
      <c r="E65" s="470">
        <v>0.56999999999999995</v>
      </c>
      <c r="F65" s="475">
        <f>'hitung F1'!E371</f>
        <v>4</v>
      </c>
      <c r="G65" s="94"/>
      <c r="H65" s="107">
        <f t="shared" si="0"/>
        <v>2.2799999999999998</v>
      </c>
    </row>
    <row r="66" spans="1:8" ht="55.5" customHeight="1" x14ac:dyDescent="0.25">
      <c r="A66" s="474">
        <v>54</v>
      </c>
      <c r="B66" s="468" t="s">
        <v>98</v>
      </c>
      <c r="C66" s="469" t="s">
        <v>99</v>
      </c>
      <c r="D66" s="469" t="str">
        <f>'hitung F1'!G373</f>
        <v>Persentase mata kuliah yang memiliki deskripsi, silabus dan SAP = (75/100) x 100% = 075%</v>
      </c>
      <c r="E66" s="470">
        <v>0.56999999999999995</v>
      </c>
      <c r="F66" s="475">
        <f>'hitung F1'!E377</f>
        <v>1.9999999999999996</v>
      </c>
      <c r="G66" s="94"/>
      <c r="H66" s="107">
        <f t="shared" si="0"/>
        <v>1.1399999999999997</v>
      </c>
    </row>
    <row r="67" spans="1:8" ht="44.25" customHeight="1" x14ac:dyDescent="0.25">
      <c r="A67" s="474">
        <v>55</v>
      </c>
      <c r="B67" s="468" t="s">
        <v>100</v>
      </c>
      <c r="C67" s="469" t="s">
        <v>101</v>
      </c>
      <c r="D67" s="469" t="str">
        <f>'hitung F1'!G379</f>
        <v>Rasio sks mata kuliah pilihan yang disediakan terhadap jumlah sks yang diwajibkan = (24/10) = 002 kali.</v>
      </c>
      <c r="E67" s="470">
        <v>0.56999999999999995</v>
      </c>
      <c r="F67" s="475">
        <f>'hitung F1'!E383</f>
        <v>4</v>
      </c>
      <c r="G67" s="94"/>
      <c r="H67" s="107">
        <f t="shared" si="0"/>
        <v>2.2799999999999998</v>
      </c>
    </row>
    <row r="68" spans="1:8" ht="30.75" customHeight="1" x14ac:dyDescent="0.25">
      <c r="A68" s="474">
        <v>56</v>
      </c>
      <c r="B68" s="468" t="s">
        <v>102</v>
      </c>
      <c r="C68" s="469" t="s">
        <v>103</v>
      </c>
      <c r="D68" s="469" t="str">
        <f>'hitung F1'!G385</f>
        <v>Substansi praktikum dan pelaksanaan praktikum.</v>
      </c>
      <c r="E68" s="470">
        <v>1.1399999999999999</v>
      </c>
      <c r="F68" s="475">
        <f>'hitung F1'!E390</f>
        <v>1</v>
      </c>
      <c r="G68" s="94"/>
      <c r="H68" s="107">
        <f t="shared" si="0"/>
        <v>1.1399999999999999</v>
      </c>
    </row>
    <row r="69" spans="1:8" ht="42" customHeight="1" x14ac:dyDescent="0.25">
      <c r="A69" s="474">
        <v>57</v>
      </c>
      <c r="B69" s="468" t="s">
        <v>104</v>
      </c>
      <c r="C69" s="472" t="s">
        <v>105</v>
      </c>
      <c r="D69" s="469" t="str">
        <f>'hitung F1'!G392</f>
        <v>Pelaksanaan peninjauan praktikum dalam lima tahun terakhir.</v>
      </c>
      <c r="E69" s="470">
        <v>0.56999999999999995</v>
      </c>
      <c r="F69" s="475">
        <f>'hitung F1'!E398</f>
        <v>2</v>
      </c>
      <c r="G69" s="94"/>
      <c r="H69" s="107">
        <f t="shared" si="0"/>
        <v>1.1399999999999999</v>
      </c>
    </row>
    <row r="70" spans="1:8" ht="44.25" customHeight="1" x14ac:dyDescent="0.25">
      <c r="A70" s="474">
        <v>58</v>
      </c>
      <c r="B70" s="468" t="s">
        <v>106</v>
      </c>
      <c r="C70" s="472" t="s">
        <v>107</v>
      </c>
      <c r="D70" s="469" t="str">
        <f>'hitung F1'!G400</f>
        <v>Penyesuaian kurikulum dengan perkembangan Ipteks dan kebutuhan lapangan kerja.</v>
      </c>
      <c r="E70" s="470">
        <v>0.56999999999999995</v>
      </c>
      <c r="F70" s="475">
        <f>'hitung F1'!E406</f>
        <v>0</v>
      </c>
      <c r="G70" s="94"/>
      <c r="H70" s="107">
        <f t="shared" si="0"/>
        <v>0</v>
      </c>
    </row>
    <row r="71" spans="1:8" ht="145.5" customHeight="1" x14ac:dyDescent="0.25">
      <c r="A71" s="474">
        <v>59</v>
      </c>
      <c r="B71" s="468" t="s">
        <v>108</v>
      </c>
      <c r="C71" s="469" t="s">
        <v>189</v>
      </c>
      <c r="D71" s="469" t="str">
        <f>'hitung F1'!G408</f>
        <v>Monitoring terhadap proses pembelajaran mencakup: (a) kehadiran mahasiswa, (b) kehadiran dosen, (c) materi kuliah.</v>
      </c>
      <c r="E71" s="470">
        <v>1.1399999999999999</v>
      </c>
      <c r="F71" s="475">
        <f>'hitung F1'!E411</f>
        <v>1</v>
      </c>
      <c r="G71" s="94"/>
      <c r="H71" s="107">
        <f t="shared" si="0"/>
        <v>1.1399999999999999</v>
      </c>
    </row>
    <row r="72" spans="1:8" ht="30" customHeight="1" x14ac:dyDescent="0.25">
      <c r="A72" s="474">
        <v>60</v>
      </c>
      <c r="B72" s="468" t="s">
        <v>109</v>
      </c>
      <c r="C72" s="469" t="s">
        <v>110</v>
      </c>
      <c r="D72" s="469" t="str">
        <f>'hitung F1'!G413</f>
        <v>Mekanisme penyusunan materi kuliah.</v>
      </c>
      <c r="E72" s="470">
        <v>0.56999999999999995</v>
      </c>
      <c r="F72" s="475">
        <f>'hitung F1'!E419</f>
        <v>1</v>
      </c>
      <c r="G72" s="94"/>
      <c r="H72" s="107">
        <f t="shared" si="0"/>
        <v>0.56999999999999995</v>
      </c>
    </row>
    <row r="73" spans="1:8" x14ac:dyDescent="0.25">
      <c r="A73" s="474">
        <v>61</v>
      </c>
      <c r="B73" s="468" t="s">
        <v>111</v>
      </c>
      <c r="C73" s="469" t="s">
        <v>112</v>
      </c>
      <c r="D73" s="469" t="str">
        <f>'hitung F1'!G421</f>
        <v>Mutu soal ujian.</v>
      </c>
      <c r="E73" s="470">
        <v>0.56999999999999995</v>
      </c>
      <c r="F73" s="475">
        <f>'hitung F1'!E427</f>
        <v>2</v>
      </c>
      <c r="G73" s="94"/>
      <c r="H73" s="107">
        <f t="shared" si="0"/>
        <v>1.1399999999999999</v>
      </c>
    </row>
    <row r="74" spans="1:8" ht="57" customHeight="1" x14ac:dyDescent="0.25">
      <c r="A74" s="474">
        <v>62</v>
      </c>
      <c r="B74" s="468" t="s">
        <v>386</v>
      </c>
      <c r="C74" s="472" t="s">
        <v>113</v>
      </c>
      <c r="D74" s="469" t="str">
        <f>'hitung F1'!G429</f>
        <v>Rata-rata banyaknya mahasiswa per dosen pembimbing akademik (PA) = (80/5) = 16 mahasiswa/dosen PA.</v>
      </c>
      <c r="E74" s="470">
        <v>0.56999999999999995</v>
      </c>
      <c r="F74" s="475">
        <f>'hitung F1'!E433</f>
        <v>4</v>
      </c>
      <c r="G74" s="94"/>
      <c r="H74" s="107">
        <f t="shared" si="0"/>
        <v>2.2799999999999998</v>
      </c>
    </row>
    <row r="75" spans="1:8" ht="30" customHeight="1" x14ac:dyDescent="0.25">
      <c r="A75" s="474">
        <v>63</v>
      </c>
      <c r="B75" s="468" t="s">
        <v>387</v>
      </c>
      <c r="C75" s="472" t="s">
        <v>114</v>
      </c>
      <c r="D75" s="469" t="str">
        <f>'hitung F1'!G435</f>
        <v>Pelaksanaan kegiatan pembimbingan akademik:</v>
      </c>
      <c r="E75" s="470">
        <v>0.56999999999999995</v>
      </c>
      <c r="F75" s="475">
        <f>'hitung F1'!E441</f>
        <v>2.5</v>
      </c>
      <c r="G75" s="94"/>
      <c r="H75" s="107">
        <f t="shared" si="0"/>
        <v>1.4249999999999998</v>
      </c>
    </row>
    <row r="76" spans="1:8" ht="55.5" customHeight="1" x14ac:dyDescent="0.25">
      <c r="A76" s="474">
        <v>64</v>
      </c>
      <c r="B76" s="468" t="s">
        <v>388</v>
      </c>
      <c r="C76" s="472" t="s">
        <v>115</v>
      </c>
      <c r="D76" s="469" t="str">
        <f>'hitung F1'!G443</f>
        <v>Jumlah rata-rata pertemuan pembimbingan per mahasiswa per semester = 5 kali.</v>
      </c>
      <c r="E76" s="470">
        <v>0.56999999999999995</v>
      </c>
      <c r="F76" s="475">
        <f>'hitung F1'!E444</f>
        <v>4</v>
      </c>
      <c r="G76" s="94"/>
      <c r="H76" s="107">
        <f t="shared" si="0"/>
        <v>2.2799999999999998</v>
      </c>
    </row>
    <row r="77" spans="1:8" ht="30" customHeight="1" x14ac:dyDescent="0.25">
      <c r="A77" s="474">
        <v>65</v>
      </c>
      <c r="B77" s="468" t="s">
        <v>389</v>
      </c>
      <c r="C77" s="472" t="s">
        <v>116</v>
      </c>
      <c r="D77" s="469" t="str">
        <f>'hitung F1'!G446</f>
        <v>Efektivitas kegiatan perwalian/pembimbingan akademik:</v>
      </c>
      <c r="E77" s="470">
        <v>0.56999999999999995</v>
      </c>
      <c r="F77" s="475">
        <f>'hitung F1'!E452</f>
        <v>2.5</v>
      </c>
      <c r="G77" s="94"/>
      <c r="H77" s="107">
        <f t="shared" si="0"/>
        <v>1.4249999999999998</v>
      </c>
    </row>
    <row r="78" spans="1:8" ht="42.75" customHeight="1" x14ac:dyDescent="0.25">
      <c r="A78" s="474">
        <v>66</v>
      </c>
      <c r="B78" s="468" t="s">
        <v>117</v>
      </c>
      <c r="C78" s="472" t="s">
        <v>118</v>
      </c>
      <c r="D78" s="469" t="str">
        <f>'hitung F1'!G454</f>
        <v>Ketersediaan panduan tugas akhir, sosialisasi dan konsistensi pelaksanaannya.</v>
      </c>
      <c r="E78" s="470">
        <v>0.56999999999999995</v>
      </c>
      <c r="F78" s="475">
        <f>'hitung F1'!E460</f>
        <v>2</v>
      </c>
      <c r="G78" s="94"/>
      <c r="H78" s="107">
        <f t="shared" ref="H78:H112" si="1">E78*F78</f>
        <v>1.1399999999999999</v>
      </c>
    </row>
    <row r="79" spans="1:8" ht="42.75" customHeight="1" x14ac:dyDescent="0.25">
      <c r="A79" s="474">
        <v>67</v>
      </c>
      <c r="B79" s="468" t="s">
        <v>119</v>
      </c>
      <c r="C79" s="472" t="s">
        <v>120</v>
      </c>
      <c r="D79" s="469" t="str">
        <f>'hitung F1'!G462</f>
        <v>Rata-rata mahasiswa per dosen pembimbing tugas akhir = (19/7) = 003 mahasiswa/dosen TA.</v>
      </c>
      <c r="E79" s="470">
        <v>0.56999999999999995</v>
      </c>
      <c r="F79" s="475">
        <f>'hitung F1'!E466</f>
        <v>4</v>
      </c>
      <c r="G79" s="94"/>
      <c r="H79" s="107">
        <f t="shared" si="1"/>
        <v>2.2799999999999998</v>
      </c>
    </row>
    <row r="80" spans="1:8" ht="53.25" customHeight="1" x14ac:dyDescent="0.25">
      <c r="A80" s="474">
        <v>68</v>
      </c>
      <c r="B80" s="468" t="s">
        <v>121</v>
      </c>
      <c r="C80" s="472" t="s">
        <v>1010</v>
      </c>
      <c r="D80" s="469" t="str">
        <f>'hitung F1'!G468</f>
        <v>Rata-rata jumlah pertemuan/pembimbingan TA = 7 kali.</v>
      </c>
      <c r="E80" s="470">
        <v>0.56999999999999995</v>
      </c>
      <c r="F80" s="475">
        <f>'hitung F1'!E469</f>
        <v>3.5</v>
      </c>
      <c r="G80" s="94"/>
      <c r="H80" s="107">
        <f t="shared" si="1"/>
        <v>1.9949999999999999</v>
      </c>
    </row>
    <row r="81" spans="1:8" ht="42.75" customHeight="1" x14ac:dyDescent="0.25">
      <c r="A81" s="474">
        <v>69</v>
      </c>
      <c r="B81" s="468" t="s">
        <v>122</v>
      </c>
      <c r="C81" s="472" t="s">
        <v>123</v>
      </c>
      <c r="D81" s="469" t="str">
        <f>'hitung F1'!G471</f>
        <v>Kualifikasi akademik dosen pembimbing tugas akhir.</v>
      </c>
      <c r="E81" s="470">
        <v>1.1399999999999999</v>
      </c>
      <c r="F81" s="475">
        <f>'hitung F1'!E476</f>
        <v>2.5</v>
      </c>
      <c r="G81" s="94"/>
      <c r="H81" s="107">
        <f t="shared" si="1"/>
        <v>2.8499999999999996</v>
      </c>
    </row>
    <row r="82" spans="1:8" ht="69" customHeight="1" x14ac:dyDescent="0.25">
      <c r="A82" s="474">
        <v>70</v>
      </c>
      <c r="B82" s="468" t="s">
        <v>124</v>
      </c>
      <c r="C82" s="469" t="s">
        <v>125</v>
      </c>
      <c r="D82" s="469" t="str">
        <f>'hitung F1'!G480</f>
        <v>Dalam kurikulum, tugas akhir direncanakan selesai dalam … semester.  Dalam realisasinya, rata-rata waktu penyelesaian tugas akhir = 4 bulan.</v>
      </c>
      <c r="E82" s="470">
        <v>1.1399999999999999</v>
      </c>
      <c r="F82" s="475">
        <f>'hitung F1'!E485</f>
        <v>4</v>
      </c>
      <c r="G82" s="94"/>
      <c r="H82" s="107">
        <f t="shared" si="1"/>
        <v>4.5599999999999996</v>
      </c>
    </row>
    <row r="83" spans="1:8" ht="93.75" customHeight="1" x14ac:dyDescent="0.25">
      <c r="A83" s="474">
        <v>71</v>
      </c>
      <c r="B83" s="468">
        <v>5.6</v>
      </c>
      <c r="C83" s="469" t="s">
        <v>126</v>
      </c>
      <c r="D83" s="469" t="str">
        <f>'hitung F1'!G487</f>
        <v xml:space="preserve">Upaya perbaikan sistem pembelajaran yang telah dilakukan selama tiga tahun terakhir antara lain: </v>
      </c>
      <c r="E83" s="470">
        <v>0.56999999999999995</v>
      </c>
      <c r="F83" s="475">
        <f>'hitung F1'!E493</f>
        <v>1</v>
      </c>
      <c r="G83" s="94"/>
      <c r="H83" s="107">
        <f t="shared" si="1"/>
        <v>0.56999999999999995</v>
      </c>
    </row>
    <row r="84" spans="1:8" ht="81" customHeight="1" x14ac:dyDescent="0.25">
      <c r="A84" s="474">
        <v>72</v>
      </c>
      <c r="B84" s="468" t="s">
        <v>127</v>
      </c>
      <c r="C84" s="472" t="s">
        <v>128</v>
      </c>
      <c r="D84" s="469" t="str">
        <f>'hitung F1'!G495</f>
        <v>Kebijakan tertulis tentang suasana akademik (otonomi keilmuan, kebebasan akademik, kebebasan mimbar akademik, kemitraan dosen-mahasiswa):…</v>
      </c>
      <c r="E84" s="470">
        <v>0.56999999999999995</v>
      </c>
      <c r="F84" s="475">
        <f>'hitung F1'!E500</f>
        <v>1</v>
      </c>
      <c r="G84" s="94"/>
      <c r="H84" s="107">
        <f t="shared" si="1"/>
        <v>0.56999999999999995</v>
      </c>
    </row>
    <row r="85" spans="1:8" ht="80.25" customHeight="1" x14ac:dyDescent="0.25">
      <c r="A85" s="474">
        <v>73</v>
      </c>
      <c r="B85" s="468" t="s">
        <v>129</v>
      </c>
      <c r="C85" s="472" t="s">
        <v>130</v>
      </c>
      <c r="D85" s="469" t="str">
        <f>'hitung F1'!G502</f>
        <v>Sarana dan prasarana yang mendukung terciptanya suasana akademik yang kondusif:…</v>
      </c>
      <c r="E85" s="470">
        <v>1.1399999999999999</v>
      </c>
      <c r="F85" s="475">
        <f>'hitung F1'!E507</f>
        <v>1</v>
      </c>
      <c r="G85" s="94"/>
      <c r="H85" s="107">
        <f t="shared" si="1"/>
        <v>1.1399999999999999</v>
      </c>
    </row>
    <row r="86" spans="1:8" ht="93" customHeight="1" x14ac:dyDescent="0.25">
      <c r="A86" s="474">
        <v>74</v>
      </c>
      <c r="B86" s="468" t="s">
        <v>131</v>
      </c>
      <c r="C86" s="472" t="s">
        <v>132</v>
      </c>
      <c r="D86" s="469" t="str">
        <f>'hitung F1'!G509</f>
        <v>Program/kegiatan akademik yang mendukung terciptanya suasana akademik yang kondusif:</v>
      </c>
      <c r="E86" s="470">
        <v>1.1399999999999999</v>
      </c>
      <c r="F86" s="475">
        <f>'hitung F1'!E514</f>
        <v>2</v>
      </c>
      <c r="G86" s="94"/>
      <c r="H86" s="107">
        <f t="shared" si="1"/>
        <v>2.2799999999999998</v>
      </c>
    </row>
    <row r="87" spans="1:8" ht="38.25" x14ac:dyDescent="0.25">
      <c r="A87" s="474">
        <v>75</v>
      </c>
      <c r="B87" s="468" t="s">
        <v>133</v>
      </c>
      <c r="C87" s="472" t="s">
        <v>134</v>
      </c>
      <c r="D87" s="469" t="str">
        <f>'hitung F1'!G516</f>
        <v>Bentuk kegiatan interaksi akademik antara dosen dan mahasiswa:</v>
      </c>
      <c r="E87" s="470">
        <v>0.56999999999999995</v>
      </c>
      <c r="F87" s="475">
        <f>'hitung F1'!E521</f>
        <v>1</v>
      </c>
      <c r="G87" s="94"/>
      <c r="H87" s="107">
        <f t="shared" si="1"/>
        <v>0.56999999999999995</v>
      </c>
    </row>
    <row r="88" spans="1:8" ht="44.25" customHeight="1" x14ac:dyDescent="0.25">
      <c r="A88" s="474">
        <v>76</v>
      </c>
      <c r="B88" s="468" t="s">
        <v>135</v>
      </c>
      <c r="C88" s="472" t="s">
        <v>136</v>
      </c>
      <c r="D88" s="469" t="str">
        <f>'hitung F1'!G523</f>
        <v>Bentuk kegiatan terkait pengembangan perilaku kecendekiawanan antara lain:</v>
      </c>
      <c r="E88" s="470">
        <v>0.56999999999999995</v>
      </c>
      <c r="F88" s="475">
        <f>'hitung F1'!E528</f>
        <v>1</v>
      </c>
      <c r="G88" s="94"/>
      <c r="H88" s="107">
        <f t="shared" si="1"/>
        <v>0.56999999999999995</v>
      </c>
    </row>
    <row r="89" spans="1:8" ht="81.75" customHeight="1" x14ac:dyDescent="0.25">
      <c r="A89" s="474">
        <v>77</v>
      </c>
      <c r="B89" s="468">
        <v>6.1</v>
      </c>
      <c r="C89" s="471" t="s">
        <v>137</v>
      </c>
      <c r="D89" s="469" t="str">
        <f>'hitung F1'!G530</f>
        <v>Keterlibatan program studi dalam perencanaan kegiatan dan pengelolaan dana:</v>
      </c>
      <c r="E89" s="470">
        <v>0.67</v>
      </c>
      <c r="F89" s="475">
        <f>'hitung F1'!E536</f>
        <v>2</v>
      </c>
      <c r="G89" s="94"/>
      <c r="H89" s="107">
        <f t="shared" si="1"/>
        <v>1.34</v>
      </c>
    </row>
    <row r="90" spans="1:8" ht="84" customHeight="1" x14ac:dyDescent="0.25">
      <c r="A90" s="474">
        <v>78</v>
      </c>
      <c r="B90" s="468" t="s">
        <v>138</v>
      </c>
      <c r="C90" s="469" t="s">
        <v>190</v>
      </c>
      <c r="D90" s="469" t="str">
        <f>'hitung F1'!G538</f>
        <v>Total dana untuk kegiatan tridarma per tahun = Rp 532 juta. Jumlah seluruh mahasiswa pada TS = 98 orang. Rata-rata besar dana operasional = Rp 005 juta/mahasiswa.</v>
      </c>
      <c r="E90" s="470">
        <v>1.34</v>
      </c>
      <c r="F90" s="475">
        <f>'hitung F1'!E545</f>
        <v>1.2071963773696142</v>
      </c>
      <c r="G90" s="94"/>
      <c r="H90" s="107">
        <f t="shared" si="1"/>
        <v>1.6176431456752831</v>
      </c>
    </row>
    <row r="91" spans="1:8" ht="83.25" customHeight="1" x14ac:dyDescent="0.25">
      <c r="A91" s="474">
        <v>79</v>
      </c>
      <c r="B91" s="468" t="s">
        <v>139</v>
      </c>
      <c r="C91" s="472" t="s">
        <v>140</v>
      </c>
      <c r="D91" s="469" t="str">
        <f>'hitung F1'!G547</f>
        <v>Total dana penelitian dalam tiga tahun terakhir = Rp 325 juta. Jumlah dosen tetap dengan keahlian sesuai PS = 6 orang. Rata-rata dana penelitian per dosen per tahun = Rp 018 juta.</v>
      </c>
      <c r="E91" s="470">
        <v>2.02</v>
      </c>
      <c r="F91" s="475">
        <f>'hitung F1'!E551</f>
        <v>4</v>
      </c>
      <c r="G91" s="94"/>
      <c r="H91" s="107">
        <f t="shared" si="1"/>
        <v>8.08</v>
      </c>
    </row>
    <row r="92" spans="1:8" ht="68.25" customHeight="1" x14ac:dyDescent="0.25">
      <c r="A92" s="474">
        <v>80</v>
      </c>
      <c r="B92" s="468" t="s">
        <v>141</v>
      </c>
      <c r="C92" s="472" t="s">
        <v>142</v>
      </c>
      <c r="D92" s="469" t="str">
        <f>'hitung F1'!G553</f>
        <v>Total dana PkM dalam tiga tahun terakhir = Rp 90 juta. Jumlah dosen tetap PS = 7 orang. Rata-rata dana PkM per dosen per tahun = Rp 004 juta.</v>
      </c>
      <c r="E92" s="470">
        <v>0.67</v>
      </c>
      <c r="F92" s="475">
        <f>'hitung F1'!E557</f>
        <v>4</v>
      </c>
      <c r="G92" s="94"/>
      <c r="H92" s="107">
        <f t="shared" si="1"/>
        <v>2.68</v>
      </c>
    </row>
    <row r="93" spans="1:8" ht="81.75" customHeight="1" x14ac:dyDescent="0.25">
      <c r="A93" s="474">
        <v>81</v>
      </c>
      <c r="B93" s="468" t="s">
        <v>143</v>
      </c>
      <c r="C93" s="469" t="s">
        <v>144</v>
      </c>
      <c r="D93" s="469" t="str">
        <f>'hitung F1'!G559</f>
        <v>Banyaknya dosen tetap dengan bidang sesuai PS = 11 orang, menempati ruang dosen dengan luas total 72 m2. Dengan demikian rasio luas ruang per dosen = 007 m2/dosen.</v>
      </c>
      <c r="E93" s="470">
        <v>2.02</v>
      </c>
      <c r="F93" s="475">
        <f>'hitung F1'!E568</f>
        <v>1.6666666666666667</v>
      </c>
      <c r="G93" s="94"/>
      <c r="H93" s="107">
        <f t="shared" si="1"/>
        <v>3.3666666666666667</v>
      </c>
    </row>
    <row r="94" spans="1:8" ht="105" customHeight="1" x14ac:dyDescent="0.25">
      <c r="A94" s="474">
        <v>82</v>
      </c>
      <c r="B94" s="468" t="s">
        <v>145</v>
      </c>
      <c r="C94" s="472" t="s">
        <v>146</v>
      </c>
      <c r="D94" s="469" t="str">
        <f>'hitung F1'!G570</f>
        <v>Prasarana yang dimiliki/dapat diakses oleh PS: …</v>
      </c>
      <c r="E94" s="470">
        <v>2.02</v>
      </c>
      <c r="F94" s="475">
        <f>'hitung F1'!E576</f>
        <v>1</v>
      </c>
      <c r="G94" s="94"/>
      <c r="H94" s="107">
        <f t="shared" si="1"/>
        <v>2.02</v>
      </c>
    </row>
    <row r="95" spans="1:8" ht="66.75" customHeight="1" x14ac:dyDescent="0.25">
      <c r="A95" s="474">
        <v>83</v>
      </c>
      <c r="B95" s="468" t="s">
        <v>147</v>
      </c>
      <c r="C95" s="472" t="s">
        <v>148</v>
      </c>
      <c r="D95" s="469" t="str">
        <f>'hitung F1'!G578</f>
        <v>Prasarana lain yang menunjang yang dimiliki/dapat diakses oleh PS: …</v>
      </c>
      <c r="E95" s="470">
        <v>0.67</v>
      </c>
      <c r="F95" s="475">
        <f>'hitung F1'!E584</f>
        <v>3</v>
      </c>
      <c r="G95" s="94"/>
      <c r="H95" s="107">
        <f t="shared" si="1"/>
        <v>2.0100000000000002</v>
      </c>
    </row>
    <row r="96" spans="1:8" ht="25.5" x14ac:dyDescent="0.25">
      <c r="A96" s="474">
        <v>84</v>
      </c>
      <c r="B96" s="468" t="s">
        <v>149</v>
      </c>
      <c r="C96" s="472" t="s">
        <v>150</v>
      </c>
      <c r="D96" s="469" t="str">
        <f>'hitung F1'!G586</f>
        <v>Jumlah pustaka berupa buku teks yang relevan = 1837 judul.</v>
      </c>
      <c r="E96" s="470">
        <v>0.17</v>
      </c>
      <c r="F96" s="475">
        <f>'hitung F1'!E588</f>
        <v>4</v>
      </c>
      <c r="G96" s="94"/>
      <c r="H96" s="107">
        <f t="shared" si="1"/>
        <v>0.68</v>
      </c>
    </row>
    <row r="97" spans="1:8" ht="38.25" x14ac:dyDescent="0.25">
      <c r="A97" s="474">
        <v>85</v>
      </c>
      <c r="B97" s="468" t="s">
        <v>151</v>
      </c>
      <c r="C97" s="472" t="s">
        <v>152</v>
      </c>
      <c r="D97" s="469" t="str">
        <f>'hitung F1'!G590</f>
        <v>Jumlah pustaka berupa disertasi/tesis/skripsi/TA = 208 eksemplar.</v>
      </c>
      <c r="E97" s="470">
        <v>0.17</v>
      </c>
      <c r="F97" s="475">
        <f>'hitung F1'!E592</f>
        <v>4</v>
      </c>
      <c r="G97" s="94"/>
      <c r="H97" s="107">
        <f t="shared" si="1"/>
        <v>0.68</v>
      </c>
    </row>
    <row r="98" spans="1:8" ht="38.25" x14ac:dyDescent="0.25">
      <c r="A98" s="474">
        <v>86</v>
      </c>
      <c r="B98" s="468" t="s">
        <v>153</v>
      </c>
      <c r="C98" s="472" t="s">
        <v>154</v>
      </c>
      <c r="D98" s="469" t="str">
        <f>'hitung F1'!G594</f>
        <v>Jumlah judul jurnal ilmiah terakreditasi Dikti = 0 judul.</v>
      </c>
      <c r="E98" s="470">
        <v>0.67</v>
      </c>
      <c r="F98" s="475">
        <f>'hitung F1'!E600</f>
        <v>0</v>
      </c>
      <c r="G98" s="94"/>
      <c r="H98" s="107">
        <f t="shared" si="1"/>
        <v>0</v>
      </c>
    </row>
    <row r="99" spans="1:8" ht="38.25" x14ac:dyDescent="0.25">
      <c r="A99" s="474">
        <v>87</v>
      </c>
      <c r="B99" s="468" t="s">
        <v>155</v>
      </c>
      <c r="C99" s="472" t="s">
        <v>156</v>
      </c>
      <c r="D99" s="469" t="str">
        <f>'hitung F1'!G602</f>
        <v>Jumlah judul jurnal ilmiah internasional = 1 judul.</v>
      </c>
      <c r="E99" s="470">
        <v>1.01</v>
      </c>
      <c r="F99" s="475">
        <f>'hitung F1'!E606</f>
        <v>2</v>
      </c>
      <c r="G99" s="94"/>
      <c r="H99" s="107">
        <f t="shared" si="1"/>
        <v>2.02</v>
      </c>
    </row>
    <row r="100" spans="1:8" ht="38.25" x14ac:dyDescent="0.25">
      <c r="A100" s="474">
        <v>88</v>
      </c>
      <c r="B100" s="468" t="s">
        <v>452</v>
      </c>
      <c r="C100" s="472" t="s">
        <v>191</v>
      </c>
      <c r="D100" s="469" t="str">
        <f>'hitung F1'!G608</f>
        <v>Banyak prosiding seminar = 67 judul.</v>
      </c>
      <c r="E100" s="470">
        <v>0.17</v>
      </c>
      <c r="F100" s="475">
        <f>'hitung F1'!E609</f>
        <v>4</v>
      </c>
      <c r="G100" s="94"/>
      <c r="H100" s="107">
        <f t="shared" si="1"/>
        <v>0.68</v>
      </c>
    </row>
    <row r="101" spans="1:8" ht="38.25" x14ac:dyDescent="0.25">
      <c r="A101" s="474">
        <v>89</v>
      </c>
      <c r="B101" s="468" t="s">
        <v>158</v>
      </c>
      <c r="C101" s="472" t="s">
        <v>159</v>
      </c>
      <c r="D101" s="469" t="str">
        <f>'hitung F1'!G611</f>
        <v>Perpustakaan di luar PT yang dapat diakses antara lain: …</v>
      </c>
      <c r="E101" s="470">
        <v>0.67</v>
      </c>
      <c r="F101" s="475">
        <f>'hitung F1'!E617</f>
        <v>1</v>
      </c>
      <c r="G101" s="94"/>
      <c r="H101" s="107">
        <f t="shared" si="1"/>
        <v>0.67</v>
      </c>
    </row>
    <row r="102" spans="1:8" ht="127.5" x14ac:dyDescent="0.25">
      <c r="A102" s="474">
        <v>90</v>
      </c>
      <c r="B102" s="468" t="s">
        <v>160</v>
      </c>
      <c r="C102" s="471" t="s">
        <v>192</v>
      </c>
      <c r="D102" s="469" t="str">
        <f>'hitung F1'!G619</f>
        <v xml:space="preserve">Ketersediaan, akses dan pendayagunaan sarana utama di laboratorium. </v>
      </c>
      <c r="E102" s="470">
        <v>1.34</v>
      </c>
      <c r="F102" s="475">
        <f>'hitung F1'!E625</f>
        <v>3</v>
      </c>
      <c r="G102" s="94"/>
      <c r="H102" s="107">
        <f t="shared" si="1"/>
        <v>4.0200000000000005</v>
      </c>
    </row>
    <row r="103" spans="1:8" ht="76.5" x14ac:dyDescent="0.25">
      <c r="A103" s="474">
        <v>91</v>
      </c>
      <c r="B103" s="468" t="s">
        <v>161</v>
      </c>
      <c r="C103" s="469" t="s">
        <v>193</v>
      </c>
      <c r="D103" s="469" t="str">
        <f>'hitung F1'!G627</f>
        <v>Sistem informasi dan fasilitas yang digunakan PS dalam PBM.</v>
      </c>
      <c r="E103" s="470">
        <v>1.34</v>
      </c>
      <c r="F103" s="475">
        <f>'hitung F1'!E632</f>
        <v>1</v>
      </c>
      <c r="G103" s="94"/>
      <c r="H103" s="107">
        <f t="shared" si="1"/>
        <v>1.34</v>
      </c>
    </row>
    <row r="104" spans="1:8" ht="94.5" customHeight="1" x14ac:dyDescent="0.25">
      <c r="A104" s="474">
        <v>92</v>
      </c>
      <c r="B104" s="468" t="s">
        <v>162</v>
      </c>
      <c r="C104" s="472" t="s">
        <v>163</v>
      </c>
      <c r="D104" s="469" t="str">
        <f>'hitung F1'!G634</f>
        <v>Persentase jenis data yang dikelola manual =100%, dengan komputer tak terhubung jaringan = 000%, dengan komputer terhubung jaringan lokal = 000%, dan dengan komputer terhubung jaringan luas (internet) = 000%.</v>
      </c>
      <c r="E104" s="470">
        <v>0.67</v>
      </c>
      <c r="F104" s="475">
        <f>'hitung F1'!E640</f>
        <v>1</v>
      </c>
      <c r="G104" s="94"/>
      <c r="H104" s="107">
        <f t="shared" si="1"/>
        <v>0.67</v>
      </c>
    </row>
    <row r="105" spans="1:8" ht="94.5" customHeight="1" x14ac:dyDescent="0.25">
      <c r="A105" s="474">
        <v>93</v>
      </c>
      <c r="B105" s="468" t="s">
        <v>164</v>
      </c>
      <c r="C105" s="472" t="s">
        <v>165</v>
      </c>
      <c r="D105" s="469" t="str">
        <f>'hitung F1'!G643</f>
        <v>Penelitian dosen dalam tiga tahun terakhir. Jumlah penelitian dengan biaya LN = 0 judul, biaya luar PT = 0 judul, biaya dari PT/sendiri = 2 judul. Jumlah dosen tetap dengan bidang sesuai PS = 6 orang. Nilai Kasar (NK) = 000</v>
      </c>
      <c r="E105" s="470">
        <v>3.75</v>
      </c>
      <c r="F105" s="475">
        <f>'hitung F1'!E649</f>
        <v>1.5</v>
      </c>
      <c r="G105" s="94"/>
      <c r="H105" s="107">
        <f t="shared" si="1"/>
        <v>5.625</v>
      </c>
    </row>
    <row r="106" spans="1:8" ht="68.25" customHeight="1" x14ac:dyDescent="0.25">
      <c r="A106" s="474">
        <v>94</v>
      </c>
      <c r="B106" s="468" t="s">
        <v>166</v>
      </c>
      <c r="C106" s="472" t="s">
        <v>167</v>
      </c>
      <c r="D106" s="469" t="str">
        <f>'hitung F1'!G651</f>
        <v>Jumlah mahasiswa yang melakukan tugas akhir (TA) = 10 orang. Persentase mahasiswa  tugas akhir yang terlibat dalam penelitian dosen = (0/10) x 100% = 000%.</v>
      </c>
      <c r="E106" s="470">
        <v>1.88</v>
      </c>
      <c r="F106" s="475">
        <f>'hitung F1'!E655</f>
        <v>0</v>
      </c>
      <c r="G106" s="94"/>
      <c r="H106" s="107">
        <f t="shared" si="1"/>
        <v>0</v>
      </c>
    </row>
    <row r="107" spans="1:8" ht="121.5" customHeight="1" x14ac:dyDescent="0.25">
      <c r="A107" s="474">
        <v>95</v>
      </c>
      <c r="B107" s="468" t="s">
        <v>168</v>
      </c>
      <c r="C107" s="472" t="s">
        <v>169</v>
      </c>
      <c r="D107" s="469" t="str">
        <f>'hitung F1'!G657</f>
        <v>Jumlah artikel ilmiah yang dihasilkan dosen tetap yang sesuai bidang selama tiga tahun. Jumlah dosen yang terlibat dalam penulisan artikel internasional = 0 orang,  nasional = 0 orang, dan bersifat lokal = 12 orang. Jumlah dosen tetap dengan bidang sesuai PS = 6 orang. Nilai Kasar (NK) = 002.</v>
      </c>
      <c r="E107" s="470">
        <v>3.75</v>
      </c>
      <c r="F107" s="475">
        <f>'hitung F1'!E663</f>
        <v>2</v>
      </c>
      <c r="G107" s="94"/>
      <c r="H107" s="107">
        <f t="shared" si="1"/>
        <v>7.5</v>
      </c>
    </row>
    <row r="108" spans="1:8" ht="80.25" customHeight="1" x14ac:dyDescent="0.25">
      <c r="A108" s="474">
        <v>96</v>
      </c>
      <c r="B108" s="468" t="s">
        <v>170</v>
      </c>
      <c r="C108" s="472" t="s">
        <v>171</v>
      </c>
      <c r="D108" s="469" t="str">
        <f>'hitung F1'!G665</f>
        <v xml:space="preserve">Karya PS/institusi memperoleh perlindungan HaKI dalam 3 tahun terakhir: </v>
      </c>
      <c r="E108" s="470">
        <v>1.88</v>
      </c>
      <c r="F108" s="475">
        <f>'hitung F1'!E670</f>
        <v>2</v>
      </c>
      <c r="G108" s="94"/>
      <c r="H108" s="107">
        <f t="shared" si="1"/>
        <v>3.76</v>
      </c>
    </row>
    <row r="109" spans="1:8" ht="135.75" customHeight="1" x14ac:dyDescent="0.25">
      <c r="A109" s="474">
        <v>97</v>
      </c>
      <c r="B109" s="468" t="s">
        <v>172</v>
      </c>
      <c r="C109" s="472" t="s">
        <v>173</v>
      </c>
      <c r="D109" s="469" t="str">
        <f>'hitung F1'!G672</f>
        <v>Kegiatan PkM oleh dosen tetap yang bidang keahliannya sama dengan PS selama tiga tahun terakhir. Jumlah kegiatan PkM dengan biaya LN = 0 judul, dengan biaya luar PT = 0 judul, dan dengan biaya PT/sendiri = 4 judul. Jumlah dosen tetap dengan bidang sesuai PS = 6 orang. Nilai Kasar (NK) = 001.</v>
      </c>
      <c r="E109" s="470">
        <v>1.88</v>
      </c>
      <c r="F109" s="475">
        <f>'hitung F1'!E678</f>
        <v>3</v>
      </c>
      <c r="G109" s="94"/>
      <c r="H109" s="107">
        <f t="shared" si="1"/>
        <v>5.64</v>
      </c>
    </row>
    <row r="110" spans="1:8" ht="51" x14ac:dyDescent="0.25">
      <c r="A110" s="474">
        <v>98</v>
      </c>
      <c r="B110" s="468" t="s">
        <v>174</v>
      </c>
      <c r="C110" s="472" t="s">
        <v>175</v>
      </c>
      <c r="D110" s="469" t="str">
        <f>'hitung F1'!G680</f>
        <v>Bentuk keterlibatan mahasiswa dalam kegiatan PkM:</v>
      </c>
      <c r="E110" s="470">
        <v>1.88</v>
      </c>
      <c r="F110" s="475">
        <f>'hitung F1'!E686</f>
        <v>2</v>
      </c>
      <c r="G110" s="94"/>
      <c r="H110" s="107">
        <f t="shared" si="1"/>
        <v>3.76</v>
      </c>
    </row>
    <row r="111" spans="1:8" ht="55.5" customHeight="1" x14ac:dyDescent="0.25">
      <c r="A111" s="474">
        <v>99</v>
      </c>
      <c r="B111" s="468" t="s">
        <v>176</v>
      </c>
      <c r="C111" s="472" t="s">
        <v>177</v>
      </c>
      <c r="D111" s="469" t="str">
        <f>'hitung F1'!G688</f>
        <v>Kegiatan kerjasama dengan instansi di DN dalam tiga tahun terakhir.</v>
      </c>
      <c r="E111" s="470">
        <v>1.88</v>
      </c>
      <c r="F111" s="475">
        <f>'hitung F1'!E693</f>
        <v>1</v>
      </c>
      <c r="G111" s="94"/>
      <c r="H111" s="107">
        <f t="shared" si="1"/>
        <v>1.88</v>
      </c>
    </row>
    <row r="112" spans="1:8" ht="57" customHeight="1" thickBot="1" x14ac:dyDescent="0.3">
      <c r="A112" s="476">
        <v>100</v>
      </c>
      <c r="B112" s="477" t="s">
        <v>178</v>
      </c>
      <c r="C112" s="478" t="s">
        <v>179</v>
      </c>
      <c r="D112" s="479" t="str">
        <f>'hitung F1'!G695</f>
        <v>Kegiatan kerjasama dengan instansi di LN dalam tiga tahun terakhir.</v>
      </c>
      <c r="E112" s="480">
        <v>1.88</v>
      </c>
      <c r="F112" s="481">
        <f>'hitung F1'!E700</f>
        <v>1</v>
      </c>
      <c r="G112" s="94"/>
      <c r="H112" s="107">
        <f t="shared" si="1"/>
        <v>1.88</v>
      </c>
    </row>
    <row r="113" spans="1:8" ht="20.25" customHeight="1" x14ac:dyDescent="0.25">
      <c r="A113" s="103" t="s">
        <v>180</v>
      </c>
      <c r="B113" s="97"/>
      <c r="C113" s="98"/>
      <c r="D113" s="94"/>
      <c r="E113" s="99"/>
      <c r="F113" s="99"/>
      <c r="G113" s="94"/>
      <c r="H113" s="94"/>
    </row>
    <row r="114" spans="1:8" ht="15.75" x14ac:dyDescent="0.25">
      <c r="A114" s="100"/>
      <c r="B114" s="97"/>
      <c r="C114" s="98"/>
      <c r="D114" s="94"/>
      <c r="E114" s="99"/>
      <c r="F114" s="99"/>
      <c r="G114" s="94"/>
      <c r="H114" s="94"/>
    </row>
    <row r="115" spans="1:8" ht="15.75" x14ac:dyDescent="0.25">
      <c r="A115" s="97"/>
      <c r="B115" s="97"/>
      <c r="C115" s="98"/>
      <c r="D115" s="343" t="s">
        <v>1087</v>
      </c>
      <c r="E115" s="99"/>
      <c r="F115" s="99"/>
      <c r="G115" s="94"/>
      <c r="H115" s="94"/>
    </row>
    <row r="116" spans="1:8" ht="15.75" x14ac:dyDescent="0.25">
      <c r="A116" s="100"/>
      <c r="B116" s="97"/>
      <c r="C116" s="98"/>
      <c r="D116" s="94"/>
      <c r="E116" s="99"/>
      <c r="F116" s="99"/>
      <c r="G116" s="94"/>
      <c r="H116" s="94"/>
    </row>
    <row r="117" spans="1:8" ht="15.75" x14ac:dyDescent="0.25">
      <c r="A117" s="100"/>
      <c r="B117" s="97"/>
      <c r="C117" s="98"/>
      <c r="D117" s="495" t="s">
        <v>1088</v>
      </c>
      <c r="E117" s="495"/>
      <c r="F117" s="495"/>
      <c r="G117" s="94"/>
      <c r="H117" s="94"/>
    </row>
    <row r="118" spans="1:8" x14ac:dyDescent="0.25">
      <c r="A118" s="104"/>
      <c r="B118" s="104"/>
      <c r="C118" s="98"/>
      <c r="D118" s="101"/>
      <c r="E118" s="99"/>
      <c r="F118" s="99"/>
      <c r="G118" s="94"/>
      <c r="H118" s="94"/>
    </row>
    <row r="119" spans="1:8" s="25" customFormat="1" x14ac:dyDescent="0.25">
      <c r="A119" s="104"/>
      <c r="B119" s="104"/>
      <c r="C119" s="344"/>
      <c r="D119" s="101"/>
      <c r="E119" s="99"/>
      <c r="F119" s="99"/>
      <c r="G119" s="94"/>
      <c r="H119" s="94"/>
    </row>
    <row r="120" spans="1:8" ht="17.25" customHeight="1" x14ac:dyDescent="0.25">
      <c r="A120" s="104"/>
      <c r="B120" s="104"/>
      <c r="C120" s="98"/>
      <c r="D120" s="105" t="s">
        <v>181</v>
      </c>
      <c r="E120" s="99"/>
      <c r="F120" s="99"/>
      <c r="G120" s="94"/>
      <c r="H120" s="94"/>
    </row>
    <row r="121" spans="1:8" x14ac:dyDescent="0.25">
      <c r="A121" s="104"/>
      <c r="B121" s="104"/>
      <c r="C121" s="98"/>
      <c r="D121" s="99"/>
      <c r="E121" s="99"/>
      <c r="F121" s="99"/>
      <c r="G121" s="94"/>
      <c r="H121" s="94"/>
    </row>
    <row r="122" spans="1:8" x14ac:dyDescent="0.25">
      <c r="A122" s="19"/>
      <c r="B122" s="19"/>
      <c r="C122" s="19"/>
    </row>
    <row r="123" spans="1:8" ht="17.25" customHeight="1" x14ac:dyDescent="0.25">
      <c r="A123" s="19"/>
      <c r="B123" s="19"/>
      <c r="C123" s="19"/>
      <c r="D123" s="39"/>
    </row>
    <row r="124" spans="1:8" x14ac:dyDescent="0.25">
      <c r="A124" s="19"/>
      <c r="B124" s="19"/>
      <c r="C124" s="19"/>
      <c r="D124" s="39"/>
    </row>
    <row r="129" ht="48" customHeight="1" x14ac:dyDescent="0.25"/>
    <row r="132" ht="27.75" customHeight="1" x14ac:dyDescent="0.25"/>
    <row r="137" ht="106.5" customHeight="1" x14ac:dyDescent="0.25"/>
    <row r="138" ht="58.5" customHeight="1" x14ac:dyDescent="0.25"/>
    <row r="143" ht="11.25" customHeight="1" x14ac:dyDescent="0.25"/>
    <row r="149" ht="20.25" customHeight="1" x14ac:dyDescent="0.25"/>
    <row r="151" ht="11.25" customHeight="1" x14ac:dyDescent="0.25"/>
    <row r="155" ht="33" customHeight="1" x14ac:dyDescent="0.25"/>
    <row r="156" ht="11.25" customHeight="1" x14ac:dyDescent="0.25"/>
    <row r="164" spans="5:5" ht="15" customHeight="1" x14ac:dyDescent="0.25">
      <c r="E164" s="493"/>
    </row>
    <row r="165" spans="5:5" x14ac:dyDescent="0.25">
      <c r="E165" s="493"/>
    </row>
    <row r="166" spans="5:5" x14ac:dyDescent="0.25">
      <c r="E166" s="493"/>
    </row>
    <row r="167" spans="5:5" ht="15" customHeight="1" x14ac:dyDescent="0.25">
      <c r="E167" s="493"/>
    </row>
    <row r="168" spans="5:5" x14ac:dyDescent="0.25">
      <c r="E168" s="493"/>
    </row>
    <row r="169" spans="5:5" x14ac:dyDescent="0.25">
      <c r="E169" s="493"/>
    </row>
  </sheetData>
  <sheetProtection selectLockedCells="1"/>
  <mergeCells count="8">
    <mergeCell ref="E167:E169"/>
    <mergeCell ref="A5:C5"/>
    <mergeCell ref="A6:C6"/>
    <mergeCell ref="A7:C7"/>
    <mergeCell ref="A8:C8"/>
    <mergeCell ref="A9:C9"/>
    <mergeCell ref="E164:E166"/>
    <mergeCell ref="D117:F117"/>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tabSelected="1" workbookViewId="0">
      <selection activeCell="O50" sqref="O50"/>
    </sheetView>
  </sheetViews>
  <sheetFormatPr defaultRowHeight="15" x14ac:dyDescent="0.25"/>
  <cols>
    <col min="1" max="1" width="4.7109375" customWidth="1"/>
    <col min="2" max="2" width="9.42578125" customWidth="1"/>
    <col min="3" max="3" width="7.7109375" style="8" customWidth="1"/>
    <col min="4" max="4" width="8.140625" style="8" customWidth="1"/>
    <col min="5" max="5" width="8.140625" customWidth="1"/>
    <col min="6" max="6" width="33" customWidth="1"/>
    <col min="7" max="7" width="15.85546875" customWidth="1"/>
    <col min="8" max="8" width="1.42578125" customWidth="1"/>
    <col min="10" max="10" width="9.140625" style="4"/>
    <col min="11" max="11" width="10" customWidth="1"/>
  </cols>
  <sheetData>
    <row r="1" spans="1:16" ht="15.75" x14ac:dyDescent="0.25">
      <c r="A1" s="393" t="s">
        <v>1076</v>
      </c>
    </row>
    <row r="2" spans="1:16" ht="15.75" x14ac:dyDescent="0.25">
      <c r="A2" s="1"/>
    </row>
    <row r="3" spans="1:16" ht="15.75" customHeight="1" x14ac:dyDescent="0.25">
      <c r="A3" s="58" t="s">
        <v>194</v>
      </c>
      <c r="B3" s="58"/>
      <c r="C3" s="58"/>
      <c r="E3" s="430" t="str">
        <f>'F6'!E3</f>
        <v>: Universitas X</v>
      </c>
    </row>
    <row r="4" spans="1:16" ht="15.75" customHeight="1" x14ac:dyDescent="0.25">
      <c r="A4" s="58" t="s">
        <v>195</v>
      </c>
      <c r="B4" s="58"/>
      <c r="C4" s="58"/>
      <c r="E4" s="430" t="str">
        <f>'F6'!E4</f>
        <v>: FMIPA</v>
      </c>
    </row>
    <row r="5" spans="1:16" ht="15.75" customHeight="1" x14ac:dyDescent="0.25">
      <c r="A5" s="58" t="s">
        <v>196</v>
      </c>
      <c r="B5" s="58"/>
      <c r="C5" s="58"/>
      <c r="E5" s="430" t="str">
        <f>'F6'!E5</f>
        <v>: Sistem Informasi</v>
      </c>
    </row>
    <row r="6" spans="1:16" ht="15.75" x14ac:dyDescent="0.25">
      <c r="A6" s="614"/>
      <c r="B6" s="614"/>
      <c r="C6" s="614"/>
      <c r="D6" s="10"/>
    </row>
    <row r="7" spans="1:16" ht="36.75" customHeight="1" thickBot="1" x14ac:dyDescent="0.3">
      <c r="A7" s="601" t="s">
        <v>1071</v>
      </c>
      <c r="B7" s="601"/>
      <c r="C7" s="601"/>
      <c r="D7" s="601"/>
      <c r="E7" s="601"/>
      <c r="F7" s="601"/>
      <c r="G7" s="601"/>
      <c r="H7" s="346"/>
      <c r="I7" s="346"/>
      <c r="J7" s="346"/>
      <c r="K7" s="346"/>
      <c r="L7" s="346"/>
      <c r="M7" s="346"/>
      <c r="N7" s="346"/>
      <c r="O7" s="346"/>
      <c r="P7" s="346"/>
    </row>
    <row r="8" spans="1:16" ht="30.75" customHeight="1" x14ac:dyDescent="0.25">
      <c r="A8" s="604" t="s">
        <v>1</v>
      </c>
      <c r="B8" s="603" t="s">
        <v>300</v>
      </c>
      <c r="C8" s="603" t="s">
        <v>199</v>
      </c>
      <c r="D8" s="603"/>
      <c r="E8" s="603"/>
      <c r="F8" s="603" t="s">
        <v>1075</v>
      </c>
      <c r="G8" s="609" t="s">
        <v>302</v>
      </c>
      <c r="I8" s="612" t="s">
        <v>368</v>
      </c>
      <c r="J8" s="612"/>
      <c r="K8" s="615" t="s">
        <v>372</v>
      </c>
    </row>
    <row r="9" spans="1:16" ht="30" customHeight="1" thickBot="1" x14ac:dyDescent="0.3">
      <c r="A9" s="606"/>
      <c r="B9" s="608"/>
      <c r="C9" s="395" t="s">
        <v>200</v>
      </c>
      <c r="D9" s="395" t="s">
        <v>201</v>
      </c>
      <c r="E9" s="395" t="s">
        <v>202</v>
      </c>
      <c r="F9" s="608"/>
      <c r="G9" s="611"/>
      <c r="I9" s="612"/>
      <c r="J9" s="612"/>
      <c r="K9" s="616"/>
    </row>
    <row r="10" spans="1:16" x14ac:dyDescent="0.25">
      <c r="A10" s="389">
        <v>1</v>
      </c>
      <c r="B10" s="371" t="s">
        <v>226</v>
      </c>
      <c r="C10" s="429">
        <f>'F 3'!F12</f>
        <v>1</v>
      </c>
      <c r="D10" s="429"/>
      <c r="E10" s="429">
        <f>(C10+D10)/2</f>
        <v>0.5</v>
      </c>
      <c r="F10" s="372" t="str">
        <f>'F 3'!D12</f>
        <v>Visi Fakultas: …</v>
      </c>
      <c r="G10" s="398"/>
      <c r="I10" s="51">
        <f>'F 3'!E12</f>
        <v>1.59</v>
      </c>
      <c r="J10" s="66">
        <f>E10*I10</f>
        <v>0.79500000000000004</v>
      </c>
      <c r="K10" s="66">
        <f>'F 3'!F12</f>
        <v>1</v>
      </c>
    </row>
    <row r="11" spans="1:16" x14ac:dyDescent="0.25">
      <c r="A11" s="378">
        <v>2</v>
      </c>
      <c r="B11" s="369" t="s">
        <v>228</v>
      </c>
      <c r="C11" s="429">
        <f>'F 3'!F13</f>
        <v>1</v>
      </c>
      <c r="D11" s="431"/>
      <c r="E11" s="431">
        <f t="shared" ref="E11:E53" si="0">(C11+D11)/2</f>
        <v>0.5</v>
      </c>
      <c r="F11" s="372" t="str">
        <f>'F 3'!D13</f>
        <v>Strategi pencapaian sasaran …</v>
      </c>
      <c r="G11" s="399"/>
      <c r="I11" s="51">
        <f>'F 3'!E13</f>
        <v>1.59</v>
      </c>
      <c r="J11" s="66">
        <f t="shared" ref="J11:J53" si="1">E11*I11</f>
        <v>0.79500000000000004</v>
      </c>
      <c r="K11" s="66">
        <f>'F 3'!F13</f>
        <v>1</v>
      </c>
    </row>
    <row r="12" spans="1:16" x14ac:dyDescent="0.25">
      <c r="A12" s="378">
        <v>3</v>
      </c>
      <c r="B12" s="369">
        <v>1.2</v>
      </c>
      <c r="C12" s="429">
        <f>'F 3'!F14</f>
        <v>1</v>
      </c>
      <c r="D12" s="431"/>
      <c r="E12" s="431">
        <f t="shared" si="0"/>
        <v>0.5</v>
      </c>
      <c r="F12" s="372" t="str">
        <f>'F 3'!D14</f>
        <v>Sosialisasi dilakukan dengan cara: …</v>
      </c>
      <c r="G12" s="399"/>
      <c r="I12" s="51">
        <f>'F 3'!E14</f>
        <v>1.59</v>
      </c>
      <c r="J12" s="66">
        <f t="shared" si="1"/>
        <v>0.79500000000000004</v>
      </c>
      <c r="K12" s="66">
        <f>'F 3'!F14</f>
        <v>1</v>
      </c>
    </row>
    <row r="13" spans="1:16" ht="25.5" x14ac:dyDescent="0.25">
      <c r="A13" s="378">
        <v>4</v>
      </c>
      <c r="B13" s="369">
        <v>2.1</v>
      </c>
      <c r="C13" s="429">
        <f>'F 3'!F15</f>
        <v>0</v>
      </c>
      <c r="D13" s="431"/>
      <c r="E13" s="431">
        <f t="shared" si="0"/>
        <v>0</v>
      </c>
      <c r="F13" s="372" t="str">
        <f>'F 3'!D15</f>
        <v>Pimpinan Fakultas telah menjalankan tata pamong yang …</v>
      </c>
      <c r="G13" s="399"/>
      <c r="I13" s="51">
        <f>'F 3'!E15</f>
        <v>2.86</v>
      </c>
      <c r="J13" s="66">
        <f t="shared" si="1"/>
        <v>0</v>
      </c>
      <c r="K13" s="66">
        <f>'F 3'!F15</f>
        <v>0</v>
      </c>
    </row>
    <row r="14" spans="1:16" ht="25.5" x14ac:dyDescent="0.25">
      <c r="A14" s="378">
        <v>5</v>
      </c>
      <c r="B14" s="369">
        <v>2.2000000000000002</v>
      </c>
      <c r="C14" s="429">
        <f>'F 3'!F16</f>
        <v>1</v>
      </c>
      <c r="D14" s="431"/>
      <c r="E14" s="431">
        <f t="shared" si="0"/>
        <v>0.5</v>
      </c>
      <c r="F14" s="372" t="str">
        <f>'F 3'!D16</f>
        <v>Struktur organisasi terdiri atas unit: …</v>
      </c>
      <c r="G14" s="399"/>
      <c r="I14" s="51">
        <f>'F 3'!E16</f>
        <v>1.43</v>
      </c>
      <c r="J14" s="66">
        <f t="shared" si="1"/>
        <v>0.71499999999999997</v>
      </c>
      <c r="K14" s="66">
        <f>'F 3'!F16</f>
        <v>1</v>
      </c>
    </row>
    <row r="15" spans="1:16" x14ac:dyDescent="0.25">
      <c r="A15" s="378">
        <v>6</v>
      </c>
      <c r="B15" s="369">
        <v>2.2999999999999998</v>
      </c>
      <c r="C15" s="429">
        <f>'F 3'!F17</f>
        <v>1</v>
      </c>
      <c r="D15" s="431"/>
      <c r="E15" s="431">
        <f t="shared" si="0"/>
        <v>0.5</v>
      </c>
      <c r="F15" s="372" t="str">
        <f>'F 3'!D17</f>
        <v>Kepemimpinan Fakultas …</v>
      </c>
      <c r="G15" s="399"/>
      <c r="I15" s="51">
        <f>'F 3'!E17</f>
        <v>2.86</v>
      </c>
      <c r="J15" s="66">
        <f t="shared" si="1"/>
        <v>1.43</v>
      </c>
      <c r="K15" s="66">
        <f>'F 3'!F17</f>
        <v>1</v>
      </c>
    </row>
    <row r="16" spans="1:16" ht="51" x14ac:dyDescent="0.25">
      <c r="A16" s="378">
        <v>7</v>
      </c>
      <c r="B16" s="369">
        <v>2.4</v>
      </c>
      <c r="C16" s="429">
        <f>'F 3'!F18</f>
        <v>0</v>
      </c>
      <c r="D16" s="431"/>
      <c r="E16" s="431">
        <f t="shared" si="0"/>
        <v>0</v>
      </c>
      <c r="F16" s="372" t="str">
        <f>'F 3'!D18</f>
        <v xml:space="preserve">Sistem pengelolaan fungsional dan operasional Fakultas mencakup: planning, organizing, staffing, leading, controlling </v>
      </c>
      <c r="G16" s="399"/>
      <c r="I16" s="51">
        <f>'F 3'!E18</f>
        <v>2.86</v>
      </c>
      <c r="J16" s="66">
        <f t="shared" si="1"/>
        <v>0</v>
      </c>
      <c r="K16" s="66">
        <f>'F 3'!F18</f>
        <v>0</v>
      </c>
    </row>
    <row r="17" spans="1:11" ht="25.5" x14ac:dyDescent="0.25">
      <c r="A17" s="378">
        <v>8</v>
      </c>
      <c r="B17" s="369" t="s">
        <v>234</v>
      </c>
      <c r="C17" s="429">
        <f>'F 3'!F19</f>
        <v>0</v>
      </c>
      <c r="D17" s="431"/>
      <c r="E17" s="431">
        <f t="shared" si="0"/>
        <v>0</v>
      </c>
      <c r="F17" s="372" t="str">
        <f>'F 3'!D19</f>
        <v>Keberadaan dan efektivitas unit pelaksana penjaminan mutu.</v>
      </c>
      <c r="G17" s="399"/>
      <c r="I17" s="51">
        <f>'F 3'!E19</f>
        <v>2.86</v>
      </c>
      <c r="J17" s="66">
        <f t="shared" si="1"/>
        <v>0</v>
      </c>
      <c r="K17" s="66">
        <f>'F 3'!F19</f>
        <v>0</v>
      </c>
    </row>
    <row r="18" spans="1:11" x14ac:dyDescent="0.25">
      <c r="A18" s="378">
        <v>9</v>
      </c>
      <c r="B18" s="369" t="s">
        <v>236</v>
      </c>
      <c r="C18" s="429">
        <f>'F 3'!F20</f>
        <v>0</v>
      </c>
      <c r="D18" s="431"/>
      <c r="E18" s="431">
        <f t="shared" si="0"/>
        <v>0</v>
      </c>
      <c r="F18" s="372" t="str">
        <f>'F 3'!D20</f>
        <v>Standar mutu dan pelaksanaannya.</v>
      </c>
      <c r="G18" s="399"/>
      <c r="I18" s="51">
        <f>'F 3'!E20</f>
        <v>1.43</v>
      </c>
      <c r="J18" s="66">
        <f t="shared" si="1"/>
        <v>0</v>
      </c>
      <c r="K18" s="66">
        <f>'F 3'!F20</f>
        <v>0</v>
      </c>
    </row>
    <row r="19" spans="1:11" x14ac:dyDescent="0.25">
      <c r="A19" s="378">
        <v>10</v>
      </c>
      <c r="B19" s="369" t="s">
        <v>238</v>
      </c>
      <c r="C19" s="429">
        <f>'F 3'!F21</f>
        <v>0</v>
      </c>
      <c r="D19" s="431"/>
      <c r="E19" s="431">
        <f t="shared" si="0"/>
        <v>0</v>
      </c>
      <c r="F19" s="372" t="str">
        <f>'F 3'!D21</f>
        <v>Sistem penerimaan mahasiswa baru.</v>
      </c>
      <c r="G19" s="399"/>
      <c r="I19" s="51">
        <f>'F 3'!E21</f>
        <v>2.38</v>
      </c>
      <c r="J19" s="66">
        <f t="shared" si="1"/>
        <v>0</v>
      </c>
      <c r="K19" s="66">
        <f>'F 3'!F21</f>
        <v>0</v>
      </c>
    </row>
    <row r="20" spans="1:11" ht="38.25" x14ac:dyDescent="0.25">
      <c r="A20" s="378">
        <v>11</v>
      </c>
      <c r="B20" s="369" t="s">
        <v>23</v>
      </c>
      <c r="C20" s="429">
        <f>'F 3'!F22</f>
        <v>4</v>
      </c>
      <c r="D20" s="431"/>
      <c r="E20" s="431">
        <f t="shared" si="0"/>
        <v>2</v>
      </c>
      <c r="F20" s="372" t="str">
        <f>'F 3'!D22</f>
        <v xml:space="preserve">Rasio mahasiswa baru transfer terhadap mahasiswa baru bukan transfer = (7/171) = 000. </v>
      </c>
      <c r="G20" s="399"/>
      <c r="I20" s="51">
        <f>'F 3'!E22</f>
        <v>4.76</v>
      </c>
      <c r="J20" s="66">
        <f t="shared" si="1"/>
        <v>9.52</v>
      </c>
      <c r="K20" s="66">
        <f>'F 3'!F22</f>
        <v>4</v>
      </c>
    </row>
    <row r="21" spans="1:11" ht="25.5" x14ac:dyDescent="0.25">
      <c r="A21" s="378">
        <v>12</v>
      </c>
      <c r="B21" s="369" t="s">
        <v>25</v>
      </c>
      <c r="C21" s="429">
        <f>'F 3'!F23</f>
        <v>1</v>
      </c>
      <c r="D21" s="431"/>
      <c r="E21" s="431">
        <f t="shared" si="0"/>
        <v>0.5</v>
      </c>
      <c r="F21" s="372" t="str">
        <f>'F 3'!D23</f>
        <v>Motivasi penerimaan mahasiswa transfer:</v>
      </c>
      <c r="G21" s="399"/>
      <c r="I21" s="51">
        <f>'F 3'!E23</f>
        <v>2.38</v>
      </c>
      <c r="J21" s="66">
        <f t="shared" si="1"/>
        <v>1.19</v>
      </c>
      <c r="K21" s="66">
        <f>'F 3'!F23</f>
        <v>1</v>
      </c>
    </row>
    <row r="22" spans="1:11" ht="25.5" x14ac:dyDescent="0.25">
      <c r="A22" s="378">
        <v>13</v>
      </c>
      <c r="B22" s="369" t="s">
        <v>31</v>
      </c>
      <c r="C22" s="429">
        <f>'F 3'!F24</f>
        <v>2.2000000000000002</v>
      </c>
      <c r="D22" s="431"/>
      <c r="E22" s="431">
        <f t="shared" si="0"/>
        <v>1.1000000000000001</v>
      </c>
      <c r="F22" s="372" t="str">
        <f>'F 3'!D24</f>
        <v>Rata-rata masa studi lulusan = …, dan rata-rata IPK lulusan = …</v>
      </c>
      <c r="G22" s="399"/>
      <c r="I22" s="51">
        <f>'F 3'!E24</f>
        <v>4.76</v>
      </c>
      <c r="J22" s="66">
        <f t="shared" si="1"/>
        <v>5.2359999999999998</v>
      </c>
      <c r="K22" s="66">
        <f>'F 3'!F24</f>
        <v>2.2000000000000002</v>
      </c>
    </row>
    <row r="23" spans="1:11" ht="25.5" x14ac:dyDescent="0.25">
      <c r="A23" s="378">
        <v>14</v>
      </c>
      <c r="B23" s="369" t="s">
        <v>33</v>
      </c>
      <c r="C23" s="429">
        <f>'F 3'!F25</f>
        <v>2</v>
      </c>
      <c r="D23" s="431"/>
      <c r="E23" s="431">
        <f t="shared" si="0"/>
        <v>1</v>
      </c>
      <c r="F23" s="372" t="str">
        <f>'F 3'!D25</f>
        <v>Upaya pengembangan dan peningkatan mutu lulusan: …</v>
      </c>
      <c r="G23" s="399"/>
      <c r="I23" s="51">
        <f>'F 3'!E25</f>
        <v>4.76</v>
      </c>
      <c r="J23" s="66">
        <f t="shared" si="1"/>
        <v>4.76</v>
      </c>
      <c r="K23" s="66">
        <f>'F 3'!F25</f>
        <v>2</v>
      </c>
    </row>
    <row r="24" spans="1:11" ht="89.25" x14ac:dyDescent="0.25">
      <c r="A24" s="378">
        <v>15</v>
      </c>
      <c r="B24" s="369" t="s">
        <v>244</v>
      </c>
      <c r="C24" s="429">
        <f>'F 3'!F26</f>
        <v>2.6666666666666665</v>
      </c>
      <c r="D24" s="431"/>
      <c r="E24" s="431">
        <f t="shared" si="0"/>
        <v>1.3333333333333333</v>
      </c>
      <c r="F24" s="372" t="str">
        <f>'F 3'!D26</f>
        <v>Jumlah total dosen tetap = 27 (7 S1, 16 S2, 4 S3). Pengelompokan berdasarkan jabatan akademik: … orang tanpa jabatan akademik, … orang Asisten Ahli, … orang Lektor, … orang Lektor Kepala, dan … orang Guru Besar.</v>
      </c>
      <c r="G24" s="399"/>
      <c r="I24" s="51">
        <f>'F 3'!E26</f>
        <v>8.16</v>
      </c>
      <c r="J24" s="66">
        <f t="shared" si="1"/>
        <v>10.879999999999999</v>
      </c>
      <c r="K24" s="66">
        <f>'F 3'!F26</f>
        <v>2.6666666666666665</v>
      </c>
    </row>
    <row r="25" spans="1:11" ht="38.25" x14ac:dyDescent="0.25">
      <c r="A25" s="378">
        <v>16</v>
      </c>
      <c r="B25" s="369" t="s">
        <v>246</v>
      </c>
      <c r="C25" s="429">
        <f>'F 3'!F27</f>
        <v>1</v>
      </c>
      <c r="D25" s="431"/>
      <c r="E25" s="431">
        <f t="shared" si="0"/>
        <v>0.5</v>
      </c>
      <c r="F25" s="372" t="str">
        <f>'F 3'!D27</f>
        <v>Upaya pengembangan dan peningkatan mutu dosen tetap dilakukan dengan: …</v>
      </c>
      <c r="G25" s="399"/>
      <c r="I25" s="51">
        <f>'F 3'!E27</f>
        <v>2.72</v>
      </c>
      <c r="J25" s="66">
        <f t="shared" si="1"/>
        <v>1.36</v>
      </c>
      <c r="K25" s="66">
        <f>'F 3'!F27</f>
        <v>1</v>
      </c>
    </row>
    <row r="26" spans="1:11" ht="76.5" x14ac:dyDescent="0.25">
      <c r="A26" s="378">
        <v>17</v>
      </c>
      <c r="B26" s="369" t="s">
        <v>248</v>
      </c>
      <c r="C26" s="429">
        <f>'F 3'!F28</f>
        <v>0.9375</v>
      </c>
      <c r="D26" s="431"/>
      <c r="E26" s="431">
        <f t="shared" si="0"/>
        <v>0.46875</v>
      </c>
      <c r="F26" s="372" t="str">
        <f>'F 3'!D28</f>
        <v>Jumlah total dosen tetap = 27 (7 S1, 16 S2, 4 S3). Jumlah dosen tetap yang tugas belajar S2 = 5 orang, dan yang tugas belajar S3 = 4 orang. Banyaknya program studi di Fakultas = 4.</v>
      </c>
      <c r="G26" s="399"/>
      <c r="I26" s="51">
        <f>'F 3'!E28</f>
        <v>2.72</v>
      </c>
      <c r="J26" s="66">
        <f t="shared" si="1"/>
        <v>1.2750000000000001</v>
      </c>
      <c r="K26" s="66">
        <f>'F 3'!F28</f>
        <v>0.9375</v>
      </c>
    </row>
    <row r="27" spans="1:11" ht="25.5" x14ac:dyDescent="0.25">
      <c r="A27" s="378">
        <v>18</v>
      </c>
      <c r="B27" s="369" t="s">
        <v>250</v>
      </c>
      <c r="C27" s="429">
        <f>'F 3'!F29</f>
        <v>0</v>
      </c>
      <c r="D27" s="431"/>
      <c r="E27" s="431">
        <f t="shared" si="0"/>
        <v>0</v>
      </c>
      <c r="F27" s="372" t="str">
        <f>'F 3'!D29</f>
        <v xml:space="preserve">Upaya fakultas dalam mengembangkan tenaga dosen tetap: </v>
      </c>
      <c r="G27" s="399"/>
      <c r="I27" s="51">
        <f>'F 3'!E29</f>
        <v>2.72</v>
      </c>
      <c r="J27" s="66">
        <f t="shared" si="1"/>
        <v>0</v>
      </c>
      <c r="K27" s="66">
        <f>'F 3'!F29</f>
        <v>0</v>
      </c>
    </row>
    <row r="28" spans="1:11" ht="25.5" x14ac:dyDescent="0.25">
      <c r="A28" s="378">
        <v>19</v>
      </c>
      <c r="B28" s="369">
        <v>4.2</v>
      </c>
      <c r="C28" s="429">
        <f>'F 3'!F30</f>
        <v>1</v>
      </c>
      <c r="D28" s="431"/>
      <c r="E28" s="431">
        <f t="shared" si="0"/>
        <v>0.5</v>
      </c>
      <c r="F28" s="372" t="str">
        <f>'F 3'!D30</f>
        <v>Kecukupan dan kualifikasi tenaga kependidikan.</v>
      </c>
      <c r="G28" s="399"/>
      <c r="I28" s="51">
        <f>'F 3'!E30</f>
        <v>2.72</v>
      </c>
      <c r="J28" s="66">
        <f t="shared" si="1"/>
        <v>1.36</v>
      </c>
      <c r="K28" s="66">
        <f>'F 3'!F30</f>
        <v>1</v>
      </c>
    </row>
    <row r="29" spans="1:11" ht="51" x14ac:dyDescent="0.25">
      <c r="A29" s="378">
        <v>20</v>
      </c>
      <c r="B29" s="369">
        <v>5.0999999999999996</v>
      </c>
      <c r="C29" s="429">
        <f>'F 3'!F31</f>
        <v>3</v>
      </c>
      <c r="D29" s="431"/>
      <c r="E29" s="431">
        <f t="shared" si="0"/>
        <v>1.5</v>
      </c>
      <c r="F29" s="372" t="str">
        <f>'F 3'!D31</f>
        <v xml:space="preserve">Bentuk dukungan Fakultas/Sekolah Tinggi dalam penyusunan, implementasi, dan pengembangan kurikulum antara lain: </v>
      </c>
      <c r="G29" s="399"/>
      <c r="I29" s="51">
        <f>'F 3'!E31</f>
        <v>1.59</v>
      </c>
      <c r="J29" s="66">
        <f t="shared" si="1"/>
        <v>2.3850000000000002</v>
      </c>
      <c r="K29" s="66">
        <f>'F 3'!F31</f>
        <v>3</v>
      </c>
    </row>
    <row r="30" spans="1:11" ht="25.5" x14ac:dyDescent="0.25">
      <c r="A30" s="378">
        <v>21</v>
      </c>
      <c r="B30" s="369">
        <v>5.2</v>
      </c>
      <c r="C30" s="429">
        <f>'F 3'!F32</f>
        <v>2</v>
      </c>
      <c r="D30" s="431"/>
      <c r="E30" s="431">
        <f t="shared" si="0"/>
        <v>1</v>
      </c>
      <c r="F30" s="372" t="str">
        <f>'F 3'!D32</f>
        <v>Monitoring dan evaluasi yang dilakukan oleh pihak Fakultas: …</v>
      </c>
      <c r="G30" s="399"/>
      <c r="I30" s="51">
        <f>'F 3'!E32</f>
        <v>1.59</v>
      </c>
      <c r="J30" s="66">
        <f t="shared" si="1"/>
        <v>1.59</v>
      </c>
      <c r="K30" s="66">
        <f>'F 3'!F32</f>
        <v>2</v>
      </c>
    </row>
    <row r="31" spans="1:11" ht="38.25" x14ac:dyDescent="0.25">
      <c r="A31" s="378">
        <v>22</v>
      </c>
      <c r="B31" s="369">
        <v>5.3</v>
      </c>
      <c r="C31" s="429">
        <f>'F 3'!F33</f>
        <v>2.2000000000000002</v>
      </c>
      <c r="D31" s="431"/>
      <c r="E31" s="431">
        <f t="shared" si="0"/>
        <v>1.1000000000000001</v>
      </c>
      <c r="F31" s="372" t="str">
        <f>'F 3'!D33</f>
        <v>Bentuk dukungan Fakultas dalam peningkatan suasana akademik antara lain:</v>
      </c>
      <c r="G31" s="399"/>
      <c r="I31" s="51">
        <f>'F 3'!E33</f>
        <v>1.59</v>
      </c>
      <c r="J31" s="66">
        <f t="shared" si="1"/>
        <v>1.7490000000000003</v>
      </c>
      <c r="K31" s="66">
        <f>'F 3'!F33</f>
        <v>2.2000000000000002</v>
      </c>
    </row>
    <row r="32" spans="1:11" ht="63.75" x14ac:dyDescent="0.25">
      <c r="A32" s="378">
        <v>23</v>
      </c>
      <c r="B32" s="369" t="s">
        <v>256</v>
      </c>
      <c r="C32" s="429">
        <f>'F 3'!F34</f>
        <v>1.0488420603412401</v>
      </c>
      <c r="D32" s="431"/>
      <c r="E32" s="431">
        <f t="shared" si="0"/>
        <v>0.52442103017062003</v>
      </c>
      <c r="F32" s="372" t="str">
        <f>'F 3'!D34</f>
        <v>Penggunaan dana untuk operasional (pendidikan, penelitian, pelayanan/ pengabdian kepada masyarakat). Jumlah dana operasional per mhs per tahun  = Rp 005 juta per tahun.</v>
      </c>
      <c r="G32" s="399"/>
      <c r="I32" s="51">
        <f>'F 3'!E34</f>
        <v>1.06</v>
      </c>
      <c r="J32" s="66">
        <f t="shared" si="1"/>
        <v>0.55588629198085726</v>
      </c>
      <c r="K32" s="66">
        <f>'F 3'!F34</f>
        <v>1.0488420603412401</v>
      </c>
    </row>
    <row r="33" spans="1:11" ht="51" x14ac:dyDescent="0.25">
      <c r="A33" s="378">
        <v>24</v>
      </c>
      <c r="B33" s="369" t="s">
        <v>258</v>
      </c>
      <c r="C33" s="429">
        <f>'F 3'!F35</f>
        <v>0.49382716049382713</v>
      </c>
      <c r="D33" s="431"/>
      <c r="E33" s="431">
        <f t="shared" si="0"/>
        <v>0.24691358024691357</v>
      </c>
      <c r="F33" s="372" t="str">
        <f>'F 3'!D35</f>
        <v>Dana penelitian dalam tiga tahun terakhir. Rata-rata dana penelitian per dosen tetap per tahun = Rp 000 juta per dosen tetap per tahun.</v>
      </c>
      <c r="G33" s="399"/>
      <c r="I33" s="51">
        <f>'F 3'!E35</f>
        <v>1.06</v>
      </c>
      <c r="J33" s="66">
        <f t="shared" si="1"/>
        <v>0.2617283950617284</v>
      </c>
      <c r="K33" s="66">
        <f>'F 3'!F35</f>
        <v>0.49382716049382713</v>
      </c>
    </row>
    <row r="34" spans="1:11" ht="51" x14ac:dyDescent="0.25">
      <c r="A34" s="378">
        <v>25</v>
      </c>
      <c r="B34" s="369" t="s">
        <v>260</v>
      </c>
      <c r="C34" s="429">
        <f>'F 3'!F36</f>
        <v>0.49382716049382713</v>
      </c>
      <c r="D34" s="431"/>
      <c r="E34" s="431">
        <f t="shared" si="0"/>
        <v>0.24691358024691357</v>
      </c>
      <c r="F34" s="372" t="str">
        <f>'F 3'!D36</f>
        <v>Dana kegiatan PkM dalam tiga tahun terakhir. Rata-rata dana PkM per dosen per tahun = Rp 000 juta per dosen per tahun.</v>
      </c>
      <c r="G34" s="399"/>
      <c r="I34" s="51">
        <f>'F 3'!E36</f>
        <v>1.06</v>
      </c>
      <c r="J34" s="66">
        <f t="shared" si="1"/>
        <v>0.2617283950617284</v>
      </c>
      <c r="K34" s="66">
        <f>'F 3'!F36</f>
        <v>0.49382716049382713</v>
      </c>
    </row>
    <row r="35" spans="1:11" ht="25.5" x14ac:dyDescent="0.25">
      <c r="A35" s="378">
        <v>26</v>
      </c>
      <c r="B35" s="369" t="s">
        <v>262</v>
      </c>
      <c r="C35" s="429">
        <f>'F 3'!F37</f>
        <v>2</v>
      </c>
      <c r="D35" s="431"/>
      <c r="E35" s="431">
        <f t="shared" si="0"/>
        <v>1</v>
      </c>
      <c r="F35" s="372" t="str">
        <f>'F 3'!D37</f>
        <v>Kecukupan dana yang diperoleh Fakultas/Sekolah Tinggi.</v>
      </c>
      <c r="G35" s="399"/>
      <c r="I35" s="51">
        <f>'F 3'!E37</f>
        <v>1.06</v>
      </c>
      <c r="J35" s="66">
        <f t="shared" si="1"/>
        <v>1.06</v>
      </c>
      <c r="K35" s="66">
        <f>'F 3'!F37</f>
        <v>2</v>
      </c>
    </row>
    <row r="36" spans="1:11" ht="25.5" x14ac:dyDescent="0.25">
      <c r="A36" s="378">
        <v>27</v>
      </c>
      <c r="B36" s="369" t="s">
        <v>264</v>
      </c>
      <c r="C36" s="429">
        <f>'F 3'!F38</f>
        <v>2</v>
      </c>
      <c r="D36" s="431"/>
      <c r="E36" s="431">
        <f t="shared" si="0"/>
        <v>1</v>
      </c>
      <c r="F36" s="372" t="str">
        <f>'F 3'!D38</f>
        <v>Upaya pengembangan dana oleh Fakultas/Sekolah Tinggi.</v>
      </c>
      <c r="G36" s="399"/>
      <c r="I36" s="51">
        <f>'F 3'!E38</f>
        <v>1.06</v>
      </c>
      <c r="J36" s="66">
        <f t="shared" si="1"/>
        <v>1.06</v>
      </c>
      <c r="K36" s="66">
        <f>'F 3'!F38</f>
        <v>2</v>
      </c>
    </row>
    <row r="37" spans="1:11" ht="25.5" x14ac:dyDescent="0.25">
      <c r="A37" s="378">
        <v>28</v>
      </c>
      <c r="B37" s="369" t="s">
        <v>138</v>
      </c>
      <c r="C37" s="429">
        <f>'F 3'!F39</f>
        <v>2</v>
      </c>
      <c r="D37" s="431"/>
      <c r="E37" s="431">
        <f t="shared" si="0"/>
        <v>1</v>
      </c>
      <c r="F37" s="372" t="str">
        <f>'F 3'!D39</f>
        <v>Investasi untuk pengadaan sarana dalam tiga tahun terakhir:</v>
      </c>
      <c r="G37" s="399"/>
      <c r="I37" s="51">
        <f>'F 3'!E39</f>
        <v>2.12</v>
      </c>
      <c r="J37" s="66">
        <f t="shared" si="1"/>
        <v>2.12</v>
      </c>
      <c r="K37" s="66">
        <f>'F 3'!F39</f>
        <v>2</v>
      </c>
    </row>
    <row r="38" spans="1:11" ht="25.5" x14ac:dyDescent="0.25">
      <c r="A38" s="378">
        <v>29</v>
      </c>
      <c r="B38" s="369" t="s">
        <v>139</v>
      </c>
      <c r="C38" s="429">
        <f>'F 3'!F40</f>
        <v>2.5</v>
      </c>
      <c r="D38" s="431"/>
      <c r="E38" s="431">
        <f t="shared" si="0"/>
        <v>1.25</v>
      </c>
      <c r="F38" s="372" t="str">
        <f>'F 3'!D40</f>
        <v>Rencana investasi untuk pengadaan sarana dalam lima tahun ke depan.</v>
      </c>
      <c r="G38" s="399"/>
      <c r="I38" s="51">
        <f>'F 3'!E40</f>
        <v>1.06</v>
      </c>
      <c r="J38" s="66">
        <f t="shared" si="1"/>
        <v>1.3250000000000002</v>
      </c>
      <c r="K38" s="66">
        <f>'F 3'!F40</f>
        <v>2.5</v>
      </c>
    </row>
    <row r="39" spans="1:11" ht="25.5" x14ac:dyDescent="0.25">
      <c r="A39" s="378">
        <v>30</v>
      </c>
      <c r="B39" s="369" t="s">
        <v>143</v>
      </c>
      <c r="C39" s="429">
        <f>'F 3'!F41</f>
        <v>2.5</v>
      </c>
      <c r="D39" s="431"/>
      <c r="E39" s="431">
        <f t="shared" si="0"/>
        <v>1.25</v>
      </c>
      <c r="F39" s="372" t="str">
        <f>'F 3'!D41</f>
        <v>Mutu, kecukupan, akses prasarana yang dikelola Fakultas untuk PS.</v>
      </c>
      <c r="G39" s="399"/>
      <c r="I39" s="51">
        <f>'F 3'!E41</f>
        <v>2.12</v>
      </c>
      <c r="J39" s="66">
        <f t="shared" si="1"/>
        <v>2.6500000000000004</v>
      </c>
      <c r="K39" s="66">
        <f>'F 3'!F41</f>
        <v>2.5</v>
      </c>
    </row>
    <row r="40" spans="1:11" ht="25.5" x14ac:dyDescent="0.25">
      <c r="A40" s="378">
        <v>31</v>
      </c>
      <c r="B40" s="369" t="s">
        <v>145</v>
      </c>
      <c r="C40" s="429">
        <f>'F 3'!F42</f>
        <v>2</v>
      </c>
      <c r="D40" s="431"/>
      <c r="E40" s="431">
        <f t="shared" si="0"/>
        <v>1</v>
      </c>
      <c r="F40" s="372" t="str">
        <f>'F 3'!D42</f>
        <v>Rencana pengembangan prasarana oleh Fakultas untuk PS:…</v>
      </c>
      <c r="G40" s="399"/>
      <c r="I40" s="51">
        <f>'F 3'!E42</f>
        <v>1.06</v>
      </c>
      <c r="J40" s="66">
        <f t="shared" si="1"/>
        <v>1.06</v>
      </c>
      <c r="K40" s="66">
        <f>'F 3'!F42</f>
        <v>2</v>
      </c>
    </row>
    <row r="41" spans="1:11" ht="63.75" x14ac:dyDescent="0.25">
      <c r="A41" s="378">
        <v>32</v>
      </c>
      <c r="B41" s="369" t="s">
        <v>149</v>
      </c>
      <c r="C41" s="429">
        <f>'F 3'!F43</f>
        <v>1</v>
      </c>
      <c r="D41" s="431"/>
      <c r="E41" s="431">
        <f t="shared" si="0"/>
        <v>0.5</v>
      </c>
      <c r="F41" s="372" t="str">
        <f>'F 3'!D43</f>
        <v>Sistem informasi dan fasilitas yang digunakan Fakultas/Sekolah Tinggi dalam proses pembelajaran (hardware, software, e-learning, perpustakaan, dll.)</v>
      </c>
      <c r="G41" s="399"/>
      <c r="I41" s="51">
        <f>'F 3'!E43</f>
        <v>2.12</v>
      </c>
      <c r="J41" s="66">
        <f t="shared" si="1"/>
        <v>1.06</v>
      </c>
      <c r="K41" s="66">
        <f>'F 3'!F43</f>
        <v>1</v>
      </c>
    </row>
    <row r="42" spans="1:11" ht="51" x14ac:dyDescent="0.25">
      <c r="A42" s="378">
        <v>33</v>
      </c>
      <c r="B42" s="369" t="s">
        <v>151</v>
      </c>
      <c r="C42" s="429">
        <f>'F 3'!F44</f>
        <v>1</v>
      </c>
      <c r="D42" s="431"/>
      <c r="E42" s="431">
        <f t="shared" si="0"/>
        <v>0.5</v>
      </c>
      <c r="F42" s="372" t="str">
        <f>'F 3'!D44</f>
        <v>Sistem informasi dan fasilitas yang digunakan Fakultas dalam administrasi (akademik, keuangan, personil, dll.).</v>
      </c>
      <c r="G42" s="399"/>
      <c r="I42" s="51">
        <f>'F 3'!E44</f>
        <v>2.12</v>
      </c>
      <c r="J42" s="66">
        <f t="shared" si="1"/>
        <v>1.06</v>
      </c>
      <c r="K42" s="66">
        <f>'F 3'!F44</f>
        <v>1</v>
      </c>
    </row>
    <row r="43" spans="1:11" ht="114.75" x14ac:dyDescent="0.25">
      <c r="A43" s="378">
        <v>34</v>
      </c>
      <c r="B43" s="369" t="s">
        <v>158</v>
      </c>
      <c r="C43" s="429">
        <f>'F 3'!F45</f>
        <v>2.2000000000000002</v>
      </c>
      <c r="D43" s="431"/>
      <c r="E43" s="431">
        <f t="shared" si="0"/>
        <v>1.1000000000000001</v>
      </c>
      <c r="F43" s="372" t="str">
        <f>'F 3'!D45</f>
        <v>Aksesibilitas data dalam sistem informasi. Dari 12 jenis data, persentase yang dikelola secara manual = 000%, dengan komputer tanpa jaringan = 100%, dengan komputer yang terhubung dengan jaringan lokal = 000%, dan dengan komputer yang terhubung jaringan luas (internet) = 000%.</v>
      </c>
      <c r="G43" s="399"/>
      <c r="I43" s="51">
        <f>'F 3'!E45</f>
        <v>1.06</v>
      </c>
      <c r="J43" s="66">
        <f t="shared" si="1"/>
        <v>1.1660000000000001</v>
      </c>
      <c r="K43" s="66">
        <f>'F 3'!F45</f>
        <v>2.2000000000000002</v>
      </c>
    </row>
    <row r="44" spans="1:11" ht="38.25" x14ac:dyDescent="0.25">
      <c r="A44" s="378">
        <v>35</v>
      </c>
      <c r="B44" s="369" t="s">
        <v>160</v>
      </c>
      <c r="C44" s="429">
        <f>'F 3'!F46</f>
        <v>2</v>
      </c>
      <c r="D44" s="431"/>
      <c r="E44" s="431">
        <f t="shared" si="0"/>
        <v>1</v>
      </c>
      <c r="F44" s="372" t="str">
        <f>'F 3'!D46</f>
        <v>Media/cara penyebaran informasi untuk sivitas akademika di Fakultas: …</v>
      </c>
      <c r="G44" s="399"/>
      <c r="I44" s="51">
        <f>'F 3'!E46</f>
        <v>1.06</v>
      </c>
      <c r="J44" s="66">
        <f t="shared" si="1"/>
        <v>1.06</v>
      </c>
      <c r="K44" s="66">
        <f>'F 3'!F46</f>
        <v>2</v>
      </c>
    </row>
    <row r="45" spans="1:11" ht="25.5" x14ac:dyDescent="0.25">
      <c r="A45" s="378">
        <v>36</v>
      </c>
      <c r="B45" s="369" t="s">
        <v>273</v>
      </c>
      <c r="C45" s="429">
        <f>'F 3'!F47</f>
        <v>1</v>
      </c>
      <c r="D45" s="431"/>
      <c r="E45" s="431">
        <f t="shared" si="0"/>
        <v>0.5</v>
      </c>
      <c r="F45" s="372" t="str">
        <f>'F 3'!D47</f>
        <v>Rencana strategis pengembangan sistem informasi jangka panjang: …</v>
      </c>
      <c r="G45" s="399"/>
      <c r="I45" s="51">
        <f>'F 3'!E47</f>
        <v>1.06</v>
      </c>
      <c r="J45" s="66">
        <f t="shared" si="1"/>
        <v>0.53</v>
      </c>
      <c r="K45" s="66">
        <f>'F 3'!F47</f>
        <v>1</v>
      </c>
    </row>
    <row r="46" spans="1:11" ht="89.25" x14ac:dyDescent="0.25">
      <c r="A46" s="378">
        <v>37</v>
      </c>
      <c r="B46" s="369" t="s">
        <v>275</v>
      </c>
      <c r="C46" s="429">
        <f>'F 3'!F48</f>
        <v>1.3333333333333333</v>
      </c>
      <c r="D46" s="431"/>
      <c r="E46" s="431">
        <f t="shared" si="0"/>
        <v>0.66666666666666663</v>
      </c>
      <c r="F46" s="372" t="str">
        <f>'F 3'!D48</f>
        <v>Kegiatan penelitian dosen tetap. Jumlah penelitian pada TS-2 = 1 judul, pada TS-1 = 1 judul, dan pada TS = 1 judul. Banyaknya dosen tetap = 27 orang. Rata-rata jumlah penelitian per dosen tetap per 3 tahun = 000 judul.</v>
      </c>
      <c r="G46" s="399"/>
      <c r="I46" s="51">
        <f>'F 3'!E48</f>
        <v>4.2300000000000004</v>
      </c>
      <c r="J46" s="66">
        <f t="shared" si="1"/>
        <v>2.8200000000000003</v>
      </c>
      <c r="K46" s="66">
        <f>'F 3'!F48</f>
        <v>1.3333333333333333</v>
      </c>
    </row>
    <row r="47" spans="1:11" ht="89.25" x14ac:dyDescent="0.25">
      <c r="A47" s="378">
        <v>38</v>
      </c>
      <c r="B47" s="369" t="s">
        <v>277</v>
      </c>
      <c r="C47" s="429">
        <f>'F 3'!F49</f>
        <v>1.3703703703703702</v>
      </c>
      <c r="D47" s="431"/>
      <c r="E47" s="431">
        <f t="shared" si="0"/>
        <v>0.68518518518518512</v>
      </c>
      <c r="F47" s="372" t="str">
        <f>'F 3'!D49</f>
        <v>Besar dana penelitian (dalam juta rupiah). Besar dana penelitian pada TS-2 = Rp 10 juta, pada TS-1 = Rp 10 juta, dan pada TS = Rp 10 juta. Banyaknya dosen tetap = 27 orang. Rata-rata dana penelitian per dosen tetap per tahun = Rp 000 juta.</v>
      </c>
      <c r="G47" s="399"/>
      <c r="I47" s="51">
        <f>'F 3'!E49</f>
        <v>4.2300000000000004</v>
      </c>
      <c r="J47" s="66">
        <f t="shared" si="1"/>
        <v>2.8983333333333334</v>
      </c>
      <c r="K47" s="66">
        <f>'F 3'!F49</f>
        <v>1.3703703703703702</v>
      </c>
    </row>
    <row r="48" spans="1:11" ht="25.5" x14ac:dyDescent="0.25">
      <c r="A48" s="378">
        <v>39</v>
      </c>
      <c r="B48" s="369" t="s">
        <v>166</v>
      </c>
      <c r="C48" s="429">
        <f>'F 3'!F50</f>
        <v>2</v>
      </c>
      <c r="D48" s="431"/>
      <c r="E48" s="431">
        <f t="shared" si="0"/>
        <v>1</v>
      </c>
      <c r="F48" s="372" t="str">
        <f>'F 3'!D50</f>
        <v>Upaya pengembangan kegiatan penelitian oleh pihak Fakultas: …</v>
      </c>
      <c r="G48" s="399"/>
      <c r="I48" s="51">
        <f>'F 3'!E50</f>
        <v>1.06</v>
      </c>
      <c r="J48" s="66">
        <f t="shared" si="1"/>
        <v>1.06</v>
      </c>
      <c r="K48" s="66">
        <f>'F 3'!F50</f>
        <v>2</v>
      </c>
    </row>
    <row r="49" spans="1:11" ht="89.25" x14ac:dyDescent="0.25">
      <c r="A49" s="378">
        <v>40</v>
      </c>
      <c r="B49" s="369" t="s">
        <v>280</v>
      </c>
      <c r="C49" s="429">
        <f>'F 3'!F51</f>
        <v>1.2222222222222223</v>
      </c>
      <c r="D49" s="431"/>
      <c r="E49" s="431">
        <f t="shared" si="0"/>
        <v>0.61111111111111116</v>
      </c>
      <c r="F49" s="372" t="str">
        <f>'F 3'!D51</f>
        <v>Kegiatan PkM dosen tetap. Jumlah kegiatan PkM pada TS-2 = 1 judul, pada TS-1 = 0 judul, dan pada TS = 0 judul. Banyaknya dosen tetap = 27 orang. Rata-rata jumlah kegiatan PkM per dosen tetap per 3 tahun = 000 judul.</v>
      </c>
      <c r="G49" s="399"/>
      <c r="I49" s="51">
        <f>'F 3'!E51</f>
        <v>2.12</v>
      </c>
      <c r="J49" s="66">
        <f t="shared" si="1"/>
        <v>1.2955555555555558</v>
      </c>
      <c r="K49" s="66">
        <f>'F 3'!F51</f>
        <v>1.2222222222222223</v>
      </c>
    </row>
    <row r="50" spans="1:11" ht="76.5" x14ac:dyDescent="0.25">
      <c r="A50" s="378">
        <v>41</v>
      </c>
      <c r="B50" s="369" t="s">
        <v>282</v>
      </c>
      <c r="C50" s="429">
        <f>'F 3'!F52</f>
        <v>1.2469135802469136</v>
      </c>
      <c r="D50" s="431"/>
      <c r="E50" s="431">
        <f t="shared" si="0"/>
        <v>0.62345679012345678</v>
      </c>
      <c r="F50" s="372" t="str">
        <f>'F 3'!D52</f>
        <v>Besar dana PkM. Besar dana PkM pada TS-2 = Rp 0 juta, pada TS-1 = Rp 10 juta, dan pada TS = Rp 0 juta. Banyaknya dosen tetap = 27 orang. Rata-rata dana PkM per dosen per tahun = Rp 000 juta.</v>
      </c>
      <c r="G50" s="399"/>
      <c r="I50" s="51">
        <f>'F 3'!E52</f>
        <v>2.12</v>
      </c>
      <c r="J50" s="66">
        <f t="shared" si="1"/>
        <v>1.3217283950617285</v>
      </c>
      <c r="K50" s="66">
        <f>'F 3'!F52</f>
        <v>1.2469135802469136</v>
      </c>
    </row>
    <row r="51" spans="1:11" ht="25.5" x14ac:dyDescent="0.25">
      <c r="A51" s="378">
        <v>42</v>
      </c>
      <c r="B51" s="369" t="s">
        <v>174</v>
      </c>
      <c r="C51" s="429">
        <f>'F 3'!F53</f>
        <v>2</v>
      </c>
      <c r="D51" s="431"/>
      <c r="E51" s="431">
        <f t="shared" si="0"/>
        <v>1</v>
      </c>
      <c r="F51" s="372" t="str">
        <f>'F 3'!D53</f>
        <v>Upaya pengembangan kegiatan PkM: …</v>
      </c>
      <c r="G51" s="399"/>
      <c r="I51" s="51">
        <f>'F 3'!E53</f>
        <v>1.06</v>
      </c>
      <c r="J51" s="66">
        <f t="shared" si="1"/>
        <v>1.06</v>
      </c>
      <c r="K51" s="66">
        <f>'F 3'!F53</f>
        <v>2</v>
      </c>
    </row>
    <row r="52" spans="1:11" ht="25.5" x14ac:dyDescent="0.25">
      <c r="A52" s="378">
        <v>43</v>
      </c>
      <c r="B52" s="369" t="s">
        <v>176</v>
      </c>
      <c r="C52" s="429">
        <f>'F 3'!F54</f>
        <v>0</v>
      </c>
      <c r="D52" s="431"/>
      <c r="E52" s="431">
        <f t="shared" si="0"/>
        <v>0</v>
      </c>
      <c r="F52" s="372" t="str">
        <f>'F 3'!D54</f>
        <v>Kegiatan kerjasama dengan instansi di DN dalam tiga tahun terakhir: …</v>
      </c>
      <c r="G52" s="399"/>
      <c r="I52" s="51">
        <f>'F 3'!E54</f>
        <v>2.12</v>
      </c>
      <c r="J52" s="66">
        <f t="shared" si="1"/>
        <v>0</v>
      </c>
      <c r="K52" s="66">
        <f>'F 3'!F54</f>
        <v>0</v>
      </c>
    </row>
    <row r="53" spans="1:11" ht="26.25" thickBot="1" x14ac:dyDescent="0.3">
      <c r="A53" s="380">
        <v>44</v>
      </c>
      <c r="B53" s="381" t="s">
        <v>178</v>
      </c>
      <c r="C53" s="433">
        <f>'F 3'!F55</f>
        <v>0</v>
      </c>
      <c r="D53" s="432"/>
      <c r="E53" s="432">
        <f t="shared" si="0"/>
        <v>0</v>
      </c>
      <c r="F53" s="372" t="str">
        <f>'F 3'!D55</f>
        <v>Kegiatan kerjasama dengan instansi di LN dalam tiga tahun terakhir: …</v>
      </c>
      <c r="G53" s="400"/>
      <c r="I53" s="51">
        <f>'F 3'!E55</f>
        <v>2.12</v>
      </c>
      <c r="J53" s="66">
        <f t="shared" si="1"/>
        <v>0</v>
      </c>
      <c r="K53" s="66">
        <f>'F 3'!F55</f>
        <v>0</v>
      </c>
    </row>
    <row r="54" spans="1:11" ht="15.75" x14ac:dyDescent="0.25">
      <c r="A54" s="20" t="s">
        <v>1073</v>
      </c>
    </row>
    <row r="55" spans="1:11" ht="15.75" x14ac:dyDescent="0.25">
      <c r="A55" s="2"/>
      <c r="F55" s="58" t="str">
        <f>'F6'!F113</f>
        <v>Jakarta, 15 Juni 2010</v>
      </c>
      <c r="G55" s="346"/>
      <c r="H55" s="346"/>
    </row>
    <row r="56" spans="1:11" ht="15.75" x14ac:dyDescent="0.25">
      <c r="A56" s="2"/>
    </row>
    <row r="57" spans="1:11" ht="15" customHeight="1" x14ac:dyDescent="0.25">
      <c r="A57" s="430" t="str">
        <f>'F6'!A116</f>
        <v>Nama Asr-1: Dr. I G.P. Purnaba, DEA</v>
      </c>
      <c r="B57" s="386"/>
      <c r="C57" s="384"/>
      <c r="E57" s="385"/>
      <c r="F57" s="430" t="str">
        <f>'F6'!F116</f>
        <v>Nama Asr-2:</v>
      </c>
    </row>
    <row r="58" spans="1:11" x14ac:dyDescent="0.25">
      <c r="A58" s="385"/>
      <c r="B58" s="386"/>
      <c r="C58" s="384"/>
      <c r="E58" s="385"/>
      <c r="F58" s="385"/>
    </row>
    <row r="59" spans="1:11" x14ac:dyDescent="0.25">
      <c r="A59" s="385"/>
      <c r="B59" s="386"/>
      <c r="C59" s="384"/>
      <c r="E59" s="385"/>
      <c r="F59" s="385"/>
    </row>
    <row r="60" spans="1:11" ht="15" customHeight="1" x14ac:dyDescent="0.25">
      <c r="A60" s="385" t="s">
        <v>181</v>
      </c>
      <c r="B60" s="385"/>
      <c r="C60" s="384"/>
      <c r="E60" s="385"/>
      <c r="F60" s="385" t="s">
        <v>181</v>
      </c>
    </row>
    <row r="61" spans="1:11" x14ac:dyDescent="0.25">
      <c r="A61" s="385"/>
      <c r="B61" s="385"/>
      <c r="C61" s="384"/>
      <c r="D61" s="385"/>
      <c r="E61" s="385"/>
      <c r="F61" s="346"/>
    </row>
  </sheetData>
  <mergeCells count="9">
    <mergeCell ref="A7:G7"/>
    <mergeCell ref="B8:B9"/>
    <mergeCell ref="C8:E8"/>
    <mergeCell ref="A6:C6"/>
    <mergeCell ref="K8:K9"/>
    <mergeCell ref="I8:J9"/>
    <mergeCell ref="A8:A9"/>
    <mergeCell ref="F8:F9"/>
    <mergeCell ref="G8:G9"/>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6"/>
  <sheetViews>
    <sheetView workbookViewId="0">
      <selection activeCell="A11" sqref="A11:I22"/>
    </sheetView>
  </sheetViews>
  <sheetFormatPr defaultRowHeight="15" x14ac:dyDescent="0.25"/>
  <cols>
    <col min="4" max="4" width="11.5703125" customWidth="1"/>
  </cols>
  <sheetData>
    <row r="1" spans="1:16" ht="33.75" customHeight="1" x14ac:dyDescent="0.25">
      <c r="A1" s="617" t="s">
        <v>1077</v>
      </c>
      <c r="B1" s="617"/>
      <c r="C1" s="617"/>
      <c r="D1" s="617"/>
      <c r="E1" s="617"/>
      <c r="F1" s="617"/>
      <c r="G1" s="617"/>
      <c r="H1" s="617"/>
      <c r="I1" s="617"/>
      <c r="J1" s="40"/>
      <c r="K1" s="40"/>
      <c r="L1" s="40"/>
    </row>
    <row r="2" spans="1:16" ht="15.75" x14ac:dyDescent="0.25">
      <c r="A2" s="1"/>
    </row>
    <row r="3" spans="1:16" ht="15.75" x14ac:dyDescent="0.25">
      <c r="A3" s="614" t="s">
        <v>194</v>
      </c>
      <c r="B3" s="614"/>
      <c r="C3" s="614"/>
      <c r="D3" s="58" t="str">
        <f>'F6'!E3</f>
        <v>: Universitas X</v>
      </c>
    </row>
    <row r="4" spans="1:16" ht="15.75" x14ac:dyDescent="0.25">
      <c r="A4" s="614" t="s">
        <v>195</v>
      </c>
      <c r="B4" s="614"/>
      <c r="C4" s="614"/>
      <c r="D4" s="58" t="str">
        <f>'F6'!E4</f>
        <v>: FMIPA</v>
      </c>
    </row>
    <row r="5" spans="1:16" ht="15.75" x14ac:dyDescent="0.25">
      <c r="A5" s="614" t="s">
        <v>196</v>
      </c>
      <c r="B5" s="614"/>
      <c r="C5" s="614"/>
      <c r="D5" s="58" t="str">
        <f>'F6'!E5</f>
        <v>: Sistem Informasi</v>
      </c>
    </row>
    <row r="6" spans="1:16" ht="15.75" x14ac:dyDescent="0.25">
      <c r="A6" s="614"/>
      <c r="B6" s="614"/>
      <c r="C6" s="614"/>
      <c r="D6" s="7"/>
    </row>
    <row r="7" spans="1:16" ht="51" customHeight="1" x14ac:dyDescent="0.25">
      <c r="A7" s="601" t="s">
        <v>1078</v>
      </c>
      <c r="B7" s="601"/>
      <c r="C7" s="601"/>
      <c r="D7" s="601"/>
      <c r="E7" s="601"/>
      <c r="F7" s="601"/>
      <c r="G7" s="601"/>
      <c r="H7" s="601"/>
      <c r="I7" s="601"/>
      <c r="J7" s="341"/>
      <c r="K7" s="346"/>
      <c r="L7" s="346"/>
      <c r="M7" s="346"/>
      <c r="N7" s="346"/>
      <c r="O7" s="346"/>
      <c r="P7" s="346"/>
    </row>
    <row r="9" spans="1:16" x14ac:dyDescent="0.25">
      <c r="A9" s="440" t="s">
        <v>381</v>
      </c>
      <c r="B9" s="346"/>
      <c r="C9" s="346"/>
      <c r="D9" s="346"/>
      <c r="E9" s="346"/>
      <c r="F9" s="346"/>
      <c r="G9" s="346"/>
      <c r="H9" s="346"/>
      <c r="I9" s="346"/>
      <c r="J9" s="346"/>
      <c r="K9" s="346"/>
    </row>
    <row r="10" spans="1:16" s="25" customFormat="1" x14ac:dyDescent="0.25">
      <c r="A10" s="353"/>
      <c r="B10" s="346"/>
      <c r="C10" s="346"/>
      <c r="D10" s="346"/>
      <c r="E10" s="346"/>
      <c r="F10" s="346"/>
      <c r="G10" s="346"/>
      <c r="H10" s="346"/>
      <c r="I10" s="346"/>
      <c r="J10" s="346"/>
      <c r="K10" s="346"/>
    </row>
    <row r="11" spans="1:16" x14ac:dyDescent="0.25">
      <c r="A11" s="618"/>
      <c r="B11" s="618"/>
      <c r="C11" s="618"/>
      <c r="D11" s="618"/>
      <c r="E11" s="618"/>
      <c r="F11" s="618"/>
      <c r="G11" s="618"/>
      <c r="H11" s="618"/>
      <c r="I11" s="618"/>
      <c r="J11" s="439"/>
    </row>
    <row r="12" spans="1:16" x14ac:dyDescent="0.25">
      <c r="A12" s="618"/>
      <c r="B12" s="618"/>
      <c r="C12" s="618"/>
      <c r="D12" s="618"/>
      <c r="E12" s="618"/>
      <c r="F12" s="618"/>
      <c r="G12" s="618"/>
      <c r="H12" s="618"/>
      <c r="I12" s="618"/>
      <c r="J12" s="439"/>
    </row>
    <row r="13" spans="1:16" x14ac:dyDescent="0.25">
      <c r="A13" s="618"/>
      <c r="B13" s="618"/>
      <c r="C13" s="618"/>
      <c r="D13" s="618"/>
      <c r="E13" s="618"/>
      <c r="F13" s="618"/>
      <c r="G13" s="618"/>
      <c r="H13" s="618"/>
      <c r="I13" s="618"/>
      <c r="J13" s="439"/>
    </row>
    <row r="14" spans="1:16" x14ac:dyDescent="0.25">
      <c r="A14" s="618"/>
      <c r="B14" s="618"/>
      <c r="C14" s="618"/>
      <c r="D14" s="618"/>
      <c r="E14" s="618"/>
      <c r="F14" s="618"/>
      <c r="G14" s="618"/>
      <c r="H14" s="618"/>
      <c r="I14" s="618"/>
      <c r="J14" s="439"/>
    </row>
    <row r="15" spans="1:16" x14ac:dyDescent="0.25">
      <c r="A15" s="618"/>
      <c r="B15" s="618"/>
      <c r="C15" s="618"/>
      <c r="D15" s="618"/>
      <c r="E15" s="618"/>
      <c r="F15" s="618"/>
      <c r="G15" s="618"/>
      <c r="H15" s="618"/>
      <c r="I15" s="618"/>
      <c r="J15" s="439"/>
    </row>
    <row r="16" spans="1:16" x14ac:dyDescent="0.25">
      <c r="A16" s="618"/>
      <c r="B16" s="618"/>
      <c r="C16" s="618"/>
      <c r="D16" s="618"/>
      <c r="E16" s="618"/>
      <c r="F16" s="618"/>
      <c r="G16" s="618"/>
      <c r="H16" s="618"/>
      <c r="I16" s="618"/>
      <c r="J16" s="439"/>
    </row>
    <row r="17" spans="1:11" x14ac:dyDescent="0.25">
      <c r="A17" s="618"/>
      <c r="B17" s="618"/>
      <c r="C17" s="618"/>
      <c r="D17" s="618"/>
      <c r="E17" s="618"/>
      <c r="F17" s="618"/>
      <c r="G17" s="618"/>
      <c r="H17" s="618"/>
      <c r="I17" s="618"/>
      <c r="J17" s="439"/>
    </row>
    <row r="18" spans="1:11" x14ac:dyDescent="0.25">
      <c r="A18" s="618"/>
      <c r="B18" s="618"/>
      <c r="C18" s="618"/>
      <c r="D18" s="618"/>
      <c r="E18" s="618"/>
      <c r="F18" s="618"/>
      <c r="G18" s="618"/>
      <c r="H18" s="618"/>
      <c r="I18" s="618"/>
      <c r="J18" s="439"/>
    </row>
    <row r="19" spans="1:11" x14ac:dyDescent="0.25">
      <c r="A19" s="618"/>
      <c r="B19" s="618"/>
      <c r="C19" s="618"/>
      <c r="D19" s="618"/>
      <c r="E19" s="618"/>
      <c r="F19" s="618"/>
      <c r="G19" s="618"/>
      <c r="H19" s="618"/>
      <c r="I19" s="618"/>
      <c r="J19" s="439"/>
    </row>
    <row r="20" spans="1:11" x14ac:dyDescent="0.25">
      <c r="A20" s="618"/>
      <c r="B20" s="618"/>
      <c r="C20" s="618"/>
      <c r="D20" s="618"/>
      <c r="E20" s="618"/>
      <c r="F20" s="618"/>
      <c r="G20" s="618"/>
      <c r="H20" s="618"/>
      <c r="I20" s="618"/>
      <c r="J20" s="439"/>
    </row>
    <row r="21" spans="1:11" x14ac:dyDescent="0.25">
      <c r="A21" s="618"/>
      <c r="B21" s="618"/>
      <c r="C21" s="618"/>
      <c r="D21" s="618"/>
      <c r="E21" s="618"/>
      <c r="F21" s="618"/>
      <c r="G21" s="618"/>
      <c r="H21" s="618"/>
      <c r="I21" s="618"/>
      <c r="J21" s="439"/>
    </row>
    <row r="22" spans="1:11" x14ac:dyDescent="0.25">
      <c r="A22" s="618"/>
      <c r="B22" s="618"/>
      <c r="C22" s="618"/>
      <c r="D22" s="618"/>
      <c r="E22" s="618"/>
      <c r="F22" s="618"/>
      <c r="G22" s="618"/>
      <c r="H22" s="618"/>
      <c r="I22" s="618"/>
    </row>
    <row r="23" spans="1:11" x14ac:dyDescent="0.25">
      <c r="A23" s="441" t="s">
        <v>382</v>
      </c>
      <c r="B23" s="346"/>
      <c r="C23" s="346"/>
      <c r="D23" s="346"/>
      <c r="E23" s="346"/>
      <c r="F23" s="346"/>
      <c r="G23" s="346"/>
      <c r="H23" s="346"/>
      <c r="I23" s="346"/>
      <c r="J23" s="346"/>
      <c r="K23" s="346"/>
    </row>
    <row r="24" spans="1:11" x14ac:dyDescent="0.25">
      <c r="A24" s="36" t="s">
        <v>306</v>
      </c>
    </row>
    <row r="25" spans="1:11" x14ac:dyDescent="0.25">
      <c r="A25" s="618"/>
      <c r="B25" s="618"/>
      <c r="C25" s="618"/>
      <c r="D25" s="618"/>
      <c r="E25" s="618"/>
      <c r="F25" s="618"/>
      <c r="G25" s="618"/>
      <c r="H25" s="618"/>
      <c r="I25" s="618"/>
      <c r="J25" s="439"/>
    </row>
    <row r="26" spans="1:11" x14ac:dyDescent="0.25">
      <c r="A26" s="618"/>
      <c r="B26" s="618"/>
      <c r="C26" s="618"/>
      <c r="D26" s="618"/>
      <c r="E26" s="618"/>
      <c r="F26" s="618"/>
      <c r="G26" s="618"/>
      <c r="H26" s="618"/>
      <c r="I26" s="618"/>
      <c r="J26" s="439"/>
    </row>
    <row r="27" spans="1:11" x14ac:dyDescent="0.25">
      <c r="A27" s="618"/>
      <c r="B27" s="618"/>
      <c r="C27" s="618"/>
      <c r="D27" s="618"/>
      <c r="E27" s="618"/>
      <c r="F27" s="618"/>
      <c r="G27" s="618"/>
      <c r="H27" s="618"/>
      <c r="I27" s="618"/>
      <c r="J27" s="439"/>
    </row>
    <row r="28" spans="1:11" x14ac:dyDescent="0.25">
      <c r="A28" s="618"/>
      <c r="B28" s="618"/>
      <c r="C28" s="618"/>
      <c r="D28" s="618"/>
      <c r="E28" s="618"/>
      <c r="F28" s="618"/>
      <c r="G28" s="618"/>
      <c r="H28" s="618"/>
      <c r="I28" s="618"/>
      <c r="J28" s="439"/>
    </row>
    <row r="29" spans="1:11" x14ac:dyDescent="0.25">
      <c r="A29" s="618"/>
      <c r="B29" s="618"/>
      <c r="C29" s="618"/>
      <c r="D29" s="618"/>
      <c r="E29" s="618"/>
      <c r="F29" s="618"/>
      <c r="G29" s="618"/>
      <c r="H29" s="618"/>
      <c r="I29" s="618"/>
      <c r="J29" s="439"/>
    </row>
    <row r="30" spans="1:11" x14ac:dyDescent="0.25">
      <c r="A30" s="618"/>
      <c r="B30" s="618"/>
      <c r="C30" s="618"/>
      <c r="D30" s="618"/>
      <c r="E30" s="618"/>
      <c r="F30" s="618"/>
      <c r="G30" s="618"/>
      <c r="H30" s="618"/>
      <c r="I30" s="618"/>
      <c r="J30" s="439"/>
    </row>
    <row r="31" spans="1:11" x14ac:dyDescent="0.25">
      <c r="A31" s="618"/>
      <c r="B31" s="618"/>
      <c r="C31" s="618"/>
      <c r="D31" s="618"/>
      <c r="E31" s="618"/>
      <c r="F31" s="618"/>
      <c r="G31" s="618"/>
      <c r="H31" s="618"/>
      <c r="I31" s="618"/>
      <c r="J31" s="439"/>
    </row>
    <row r="32" spans="1:11" x14ac:dyDescent="0.25">
      <c r="A32" s="618"/>
      <c r="B32" s="618"/>
      <c r="C32" s="618"/>
      <c r="D32" s="618"/>
      <c r="E32" s="618"/>
      <c r="F32" s="618"/>
      <c r="G32" s="618"/>
      <c r="H32" s="618"/>
      <c r="I32" s="618"/>
      <c r="J32" s="439"/>
    </row>
    <row r="33" spans="1:10" x14ac:dyDescent="0.25">
      <c r="A33" s="618"/>
      <c r="B33" s="618"/>
      <c r="C33" s="618"/>
      <c r="D33" s="618"/>
      <c r="E33" s="618"/>
      <c r="F33" s="618"/>
      <c r="G33" s="618"/>
      <c r="H33" s="618"/>
      <c r="I33" s="618"/>
      <c r="J33" s="439"/>
    </row>
    <row r="34" spans="1:10" x14ac:dyDescent="0.25">
      <c r="A34" s="618"/>
      <c r="B34" s="618"/>
      <c r="C34" s="618"/>
      <c r="D34" s="618"/>
      <c r="E34" s="618"/>
      <c r="F34" s="618"/>
      <c r="G34" s="618"/>
      <c r="H34" s="618"/>
      <c r="I34" s="618"/>
      <c r="J34" s="439"/>
    </row>
    <row r="35" spans="1:10" x14ac:dyDescent="0.25">
      <c r="A35" s="618"/>
      <c r="B35" s="618"/>
      <c r="C35" s="618"/>
      <c r="D35" s="618"/>
      <c r="E35" s="618"/>
      <c r="F35" s="618"/>
      <c r="G35" s="618"/>
      <c r="H35" s="618"/>
      <c r="I35" s="618"/>
      <c r="J35" s="439"/>
    </row>
    <row r="36" spans="1:10" x14ac:dyDescent="0.25">
      <c r="A36" s="35"/>
    </row>
    <row r="37" spans="1:10" x14ac:dyDescent="0.25">
      <c r="A37" s="59" t="s">
        <v>383</v>
      </c>
    </row>
    <row r="38" spans="1:10" s="25" customFormat="1" x14ac:dyDescent="0.25">
      <c r="A38" s="355"/>
    </row>
    <row r="39" spans="1:10" x14ac:dyDescent="0.25">
      <c r="A39" s="618"/>
      <c r="B39" s="618"/>
      <c r="C39" s="618"/>
      <c r="D39" s="618"/>
      <c r="E39" s="618"/>
      <c r="F39" s="618"/>
      <c r="G39" s="618"/>
      <c r="H39" s="618"/>
      <c r="I39" s="618"/>
      <c r="J39" s="438"/>
    </row>
    <row r="40" spans="1:10" x14ac:dyDescent="0.25">
      <c r="A40" s="618"/>
      <c r="B40" s="618"/>
      <c r="C40" s="618"/>
      <c r="D40" s="618"/>
      <c r="E40" s="618"/>
      <c r="F40" s="618"/>
      <c r="G40" s="618"/>
      <c r="H40" s="618"/>
      <c r="I40" s="618"/>
      <c r="J40" s="438"/>
    </row>
    <row r="41" spans="1:10" x14ac:dyDescent="0.25">
      <c r="A41" s="618"/>
      <c r="B41" s="618"/>
      <c r="C41" s="618"/>
      <c r="D41" s="618"/>
      <c r="E41" s="618"/>
      <c r="F41" s="618"/>
      <c r="G41" s="618"/>
      <c r="H41" s="618"/>
      <c r="I41" s="618"/>
      <c r="J41" s="438"/>
    </row>
    <row r="42" spans="1:10" x14ac:dyDescent="0.25">
      <c r="A42" s="618"/>
      <c r="B42" s="618"/>
      <c r="C42" s="618"/>
      <c r="D42" s="618"/>
      <c r="E42" s="618"/>
      <c r="F42" s="618"/>
      <c r="G42" s="618"/>
      <c r="H42" s="618"/>
      <c r="I42" s="618"/>
      <c r="J42" s="438"/>
    </row>
    <row r="43" spans="1:10" x14ac:dyDescent="0.25">
      <c r="A43" s="618"/>
      <c r="B43" s="618"/>
      <c r="C43" s="618"/>
      <c r="D43" s="618"/>
      <c r="E43" s="618"/>
      <c r="F43" s="618"/>
      <c r="G43" s="618"/>
      <c r="H43" s="618"/>
      <c r="I43" s="618"/>
      <c r="J43" s="438"/>
    </row>
    <row r="44" spans="1:10" x14ac:dyDescent="0.25">
      <c r="A44" s="618"/>
      <c r="B44" s="618"/>
      <c r="C44" s="618"/>
      <c r="D44" s="618"/>
      <c r="E44" s="618"/>
      <c r="F44" s="618"/>
      <c r="G44" s="618"/>
      <c r="H44" s="618"/>
      <c r="I44" s="618"/>
      <c r="J44" s="438"/>
    </row>
    <row r="45" spans="1:10" x14ac:dyDescent="0.25">
      <c r="A45" s="618"/>
      <c r="B45" s="618"/>
      <c r="C45" s="618"/>
      <c r="D45" s="618"/>
      <c r="E45" s="618"/>
      <c r="F45" s="618"/>
      <c r="G45" s="618"/>
      <c r="H45" s="618"/>
      <c r="I45" s="618"/>
      <c r="J45" s="438"/>
    </row>
    <row r="46" spans="1:10" x14ac:dyDescent="0.25">
      <c r="A46" s="618"/>
      <c r="B46" s="618"/>
      <c r="C46" s="618"/>
      <c r="D46" s="618"/>
      <c r="E46" s="618"/>
      <c r="F46" s="618"/>
      <c r="G46" s="618"/>
      <c r="H46" s="618"/>
      <c r="I46" s="618"/>
      <c r="J46" s="438"/>
    </row>
    <row r="47" spans="1:10" x14ac:dyDescent="0.25">
      <c r="A47" s="618"/>
      <c r="B47" s="618"/>
      <c r="C47" s="618"/>
      <c r="D47" s="618"/>
      <c r="E47" s="618"/>
      <c r="F47" s="618"/>
      <c r="G47" s="618"/>
      <c r="H47" s="618"/>
      <c r="I47" s="618"/>
      <c r="J47" s="438"/>
    </row>
    <row r="48" spans="1:10" x14ac:dyDescent="0.25">
      <c r="A48" s="618"/>
      <c r="B48" s="618"/>
      <c r="C48" s="618"/>
      <c r="D48" s="618"/>
      <c r="E48" s="618"/>
      <c r="F48" s="618"/>
      <c r="G48" s="618"/>
      <c r="H48" s="618"/>
      <c r="I48" s="618"/>
      <c r="J48" s="438"/>
    </row>
    <row r="49" spans="1:10" x14ac:dyDescent="0.25">
      <c r="A49" s="618"/>
      <c r="B49" s="618"/>
      <c r="C49" s="618"/>
      <c r="D49" s="618"/>
      <c r="E49" s="618"/>
      <c r="F49" s="618"/>
      <c r="G49" s="618"/>
      <c r="H49" s="618"/>
      <c r="I49" s="618"/>
      <c r="J49" s="438"/>
    </row>
    <row r="50" spans="1:10" x14ac:dyDescent="0.25">
      <c r="A50" s="438"/>
      <c r="B50" s="438"/>
      <c r="C50" s="438"/>
      <c r="D50" s="438"/>
      <c r="E50" s="438"/>
      <c r="F50" s="438"/>
      <c r="G50" s="438"/>
      <c r="H50" s="438"/>
      <c r="I50" s="438"/>
      <c r="J50" s="438"/>
    </row>
    <row r="51" spans="1:10" x14ac:dyDescent="0.25">
      <c r="A51" s="35"/>
    </row>
    <row r="52" spans="1:10" x14ac:dyDescent="0.25">
      <c r="A52" s="619" t="s">
        <v>304</v>
      </c>
      <c r="B52" s="597"/>
      <c r="C52" s="597"/>
      <c r="D52" s="597"/>
      <c r="E52" s="597"/>
      <c r="F52" s="597"/>
      <c r="G52" s="597"/>
      <c r="H52" s="597"/>
      <c r="I52" s="597"/>
    </row>
    <row r="53" spans="1:10" s="25" customFormat="1" x14ac:dyDescent="0.25">
      <c r="A53" s="354"/>
      <c r="B53" s="346"/>
      <c r="C53" s="346"/>
      <c r="D53" s="346"/>
      <c r="E53" s="346"/>
      <c r="F53" s="346"/>
      <c r="G53" s="346"/>
      <c r="H53" s="346"/>
      <c r="I53" s="346"/>
    </row>
    <row r="54" spans="1:10" x14ac:dyDescent="0.25">
      <c r="A54" s="618"/>
      <c r="B54" s="618"/>
      <c r="C54" s="618"/>
      <c r="D54" s="618"/>
      <c r="E54" s="618"/>
      <c r="F54" s="618"/>
      <c r="G54" s="618"/>
      <c r="H54" s="618"/>
      <c r="I54" s="618"/>
      <c r="J54" s="439"/>
    </row>
    <row r="55" spans="1:10" x14ac:dyDescent="0.25">
      <c r="A55" s="618"/>
      <c r="B55" s="618"/>
      <c r="C55" s="618"/>
      <c r="D55" s="618"/>
      <c r="E55" s="618"/>
      <c r="F55" s="618"/>
      <c r="G55" s="618"/>
      <c r="H55" s="618"/>
      <c r="I55" s="618"/>
      <c r="J55" s="439"/>
    </row>
    <row r="56" spans="1:10" x14ac:dyDescent="0.25">
      <c r="A56" s="618"/>
      <c r="B56" s="618"/>
      <c r="C56" s="618"/>
      <c r="D56" s="618"/>
      <c r="E56" s="618"/>
      <c r="F56" s="618"/>
      <c r="G56" s="618"/>
      <c r="H56" s="618"/>
      <c r="I56" s="618"/>
      <c r="J56" s="439"/>
    </row>
    <row r="57" spans="1:10" x14ac:dyDescent="0.25">
      <c r="A57" s="618"/>
      <c r="B57" s="618"/>
      <c r="C57" s="618"/>
      <c r="D57" s="618"/>
      <c r="E57" s="618"/>
      <c r="F57" s="618"/>
      <c r="G57" s="618"/>
      <c r="H57" s="618"/>
      <c r="I57" s="618"/>
      <c r="J57" s="439"/>
    </row>
    <row r="58" spans="1:10" x14ac:dyDescent="0.25">
      <c r="A58" s="618"/>
      <c r="B58" s="618"/>
      <c r="C58" s="618"/>
      <c r="D58" s="618"/>
      <c r="E58" s="618"/>
      <c r="F58" s="618"/>
      <c r="G58" s="618"/>
      <c r="H58" s="618"/>
      <c r="I58" s="618"/>
      <c r="J58" s="439"/>
    </row>
    <row r="59" spans="1:10" x14ac:dyDescent="0.25">
      <c r="A59" s="618"/>
      <c r="B59" s="618"/>
      <c r="C59" s="618"/>
      <c r="D59" s="618"/>
      <c r="E59" s="618"/>
      <c r="F59" s="618"/>
      <c r="G59" s="618"/>
      <c r="H59" s="618"/>
      <c r="I59" s="618"/>
      <c r="J59" s="439"/>
    </row>
    <row r="60" spans="1:10" x14ac:dyDescent="0.25">
      <c r="A60" s="618"/>
      <c r="B60" s="618"/>
      <c r="C60" s="618"/>
      <c r="D60" s="618"/>
      <c r="E60" s="618"/>
      <c r="F60" s="618"/>
      <c r="G60" s="618"/>
      <c r="H60" s="618"/>
      <c r="I60" s="618"/>
      <c r="J60" s="439"/>
    </row>
    <row r="61" spans="1:10" x14ac:dyDescent="0.25">
      <c r="A61" s="618"/>
      <c r="B61" s="618"/>
      <c r="C61" s="618"/>
      <c r="D61" s="618"/>
      <c r="E61" s="618"/>
      <c r="F61" s="618"/>
      <c r="G61" s="618"/>
      <c r="H61" s="618"/>
      <c r="I61" s="618"/>
      <c r="J61" s="439"/>
    </row>
    <row r="62" spans="1:10" x14ac:dyDescent="0.25">
      <c r="A62" s="618"/>
      <c r="B62" s="618"/>
      <c r="C62" s="618"/>
      <c r="D62" s="618"/>
      <c r="E62" s="618"/>
      <c r="F62" s="618"/>
      <c r="G62" s="618"/>
      <c r="H62" s="618"/>
      <c r="I62" s="618"/>
      <c r="J62" s="439"/>
    </row>
    <row r="63" spans="1:10" x14ac:dyDescent="0.25">
      <c r="A63" s="618"/>
      <c r="B63" s="618"/>
      <c r="C63" s="618"/>
      <c r="D63" s="618"/>
      <c r="E63" s="618"/>
      <c r="F63" s="618"/>
      <c r="G63" s="618"/>
      <c r="H63" s="618"/>
      <c r="I63" s="618"/>
      <c r="J63" s="439"/>
    </row>
    <row r="64" spans="1:10" x14ac:dyDescent="0.25">
      <c r="A64" s="618"/>
      <c r="B64" s="618"/>
      <c r="C64" s="618"/>
      <c r="D64" s="618"/>
      <c r="E64" s="618"/>
      <c r="F64" s="618"/>
      <c r="G64" s="618"/>
      <c r="H64" s="618"/>
      <c r="I64" s="618"/>
      <c r="J64" s="439"/>
    </row>
    <row r="65" spans="1:10" x14ac:dyDescent="0.25">
      <c r="A65" s="35"/>
    </row>
    <row r="66" spans="1:10" x14ac:dyDescent="0.25">
      <c r="A66" s="37" t="s">
        <v>305</v>
      </c>
    </row>
    <row r="67" spans="1:10" s="25" customFormat="1" x14ac:dyDescent="0.25">
      <c r="A67" s="354"/>
    </row>
    <row r="68" spans="1:10" x14ac:dyDescent="0.25">
      <c r="A68" s="618"/>
      <c r="B68" s="618"/>
      <c r="C68" s="618"/>
      <c r="D68" s="618"/>
      <c r="E68" s="618"/>
      <c r="F68" s="618"/>
      <c r="G68" s="618"/>
      <c r="H68" s="618"/>
      <c r="I68" s="618"/>
      <c r="J68" s="439"/>
    </row>
    <row r="69" spans="1:10" x14ac:dyDescent="0.25">
      <c r="A69" s="618"/>
      <c r="B69" s="618"/>
      <c r="C69" s="618"/>
      <c r="D69" s="618"/>
      <c r="E69" s="618"/>
      <c r="F69" s="618"/>
      <c r="G69" s="618"/>
      <c r="H69" s="618"/>
      <c r="I69" s="618"/>
      <c r="J69" s="439"/>
    </row>
    <row r="70" spans="1:10" x14ac:dyDescent="0.25">
      <c r="A70" s="618"/>
      <c r="B70" s="618"/>
      <c r="C70" s="618"/>
      <c r="D70" s="618"/>
      <c r="E70" s="618"/>
      <c r="F70" s="618"/>
      <c r="G70" s="618"/>
      <c r="H70" s="618"/>
      <c r="I70" s="618"/>
      <c r="J70" s="439"/>
    </row>
    <row r="71" spans="1:10" x14ac:dyDescent="0.25">
      <c r="A71" s="618"/>
      <c r="B71" s="618"/>
      <c r="C71" s="618"/>
      <c r="D71" s="618"/>
      <c r="E71" s="618"/>
      <c r="F71" s="618"/>
      <c r="G71" s="618"/>
      <c r="H71" s="618"/>
      <c r="I71" s="618"/>
      <c r="J71" s="439"/>
    </row>
    <row r="72" spans="1:10" x14ac:dyDescent="0.25">
      <c r="A72" s="618"/>
      <c r="B72" s="618"/>
      <c r="C72" s="618"/>
      <c r="D72" s="618"/>
      <c r="E72" s="618"/>
      <c r="F72" s="618"/>
      <c r="G72" s="618"/>
      <c r="H72" s="618"/>
      <c r="I72" s="618"/>
      <c r="J72" s="439"/>
    </row>
    <row r="73" spans="1:10" x14ac:dyDescent="0.25">
      <c r="A73" s="618"/>
      <c r="B73" s="618"/>
      <c r="C73" s="618"/>
      <c r="D73" s="618"/>
      <c r="E73" s="618"/>
      <c r="F73" s="618"/>
      <c r="G73" s="618"/>
      <c r="H73" s="618"/>
      <c r="I73" s="618"/>
      <c r="J73" s="439"/>
    </row>
    <row r="74" spans="1:10" x14ac:dyDescent="0.25">
      <c r="A74" s="618"/>
      <c r="B74" s="618"/>
      <c r="C74" s="618"/>
      <c r="D74" s="618"/>
      <c r="E74" s="618"/>
      <c r="F74" s="618"/>
      <c r="G74" s="618"/>
      <c r="H74" s="618"/>
      <c r="I74" s="618"/>
      <c r="J74" s="439"/>
    </row>
    <row r="75" spans="1:10" x14ac:dyDescent="0.25">
      <c r="A75" s="618"/>
      <c r="B75" s="618"/>
      <c r="C75" s="618"/>
      <c r="D75" s="618"/>
      <c r="E75" s="618"/>
      <c r="F75" s="618"/>
      <c r="G75" s="618"/>
      <c r="H75" s="618"/>
      <c r="I75" s="618"/>
      <c r="J75" s="439"/>
    </row>
    <row r="76" spans="1:10" x14ac:dyDescent="0.25">
      <c r="A76" s="618"/>
      <c r="B76" s="618"/>
      <c r="C76" s="618"/>
      <c r="D76" s="618"/>
      <c r="E76" s="618"/>
      <c r="F76" s="618"/>
      <c r="G76" s="618"/>
      <c r="H76" s="618"/>
      <c r="I76" s="618"/>
      <c r="J76" s="439"/>
    </row>
    <row r="77" spans="1:10" x14ac:dyDescent="0.25">
      <c r="A77" s="618"/>
      <c r="B77" s="618"/>
      <c r="C77" s="618"/>
      <c r="D77" s="618"/>
      <c r="E77" s="618"/>
      <c r="F77" s="618"/>
      <c r="G77" s="618"/>
      <c r="H77" s="618"/>
      <c r="I77" s="618"/>
      <c r="J77" s="439"/>
    </row>
    <row r="78" spans="1:10" x14ac:dyDescent="0.25">
      <c r="A78" s="618"/>
      <c r="B78" s="618"/>
      <c r="C78" s="618"/>
      <c r="D78" s="618"/>
      <c r="E78" s="618"/>
      <c r="F78" s="618"/>
      <c r="G78" s="618"/>
      <c r="H78" s="618"/>
      <c r="I78" s="618"/>
      <c r="J78" s="439"/>
    </row>
    <row r="79" spans="1:10" x14ac:dyDescent="0.25">
      <c r="A79" s="437"/>
      <c r="B79" s="439"/>
      <c r="C79" s="439"/>
      <c r="D79" s="439"/>
      <c r="E79" s="439"/>
      <c r="F79" s="439"/>
      <c r="G79" s="439"/>
      <c r="H79" s="439"/>
      <c r="I79" s="439"/>
      <c r="J79" s="439"/>
    </row>
    <row r="80" spans="1:10" ht="15.75" x14ac:dyDescent="0.25">
      <c r="A80" s="38"/>
    </row>
    <row r="81" spans="1:11" x14ac:dyDescent="0.25">
      <c r="A81" s="441" t="s">
        <v>384</v>
      </c>
      <c r="B81" s="346"/>
      <c r="C81" s="346"/>
      <c r="D81" s="346"/>
      <c r="E81" s="346"/>
      <c r="F81" s="346"/>
      <c r="G81" s="346"/>
      <c r="H81" s="346"/>
      <c r="I81" s="346"/>
      <c r="J81" s="346"/>
    </row>
    <row r="82" spans="1:11" s="25" customFormat="1" x14ac:dyDescent="0.25">
      <c r="A82" s="354"/>
      <c r="B82" s="346"/>
      <c r="C82" s="346"/>
      <c r="D82" s="346"/>
      <c r="E82" s="346"/>
      <c r="F82" s="346"/>
      <c r="G82" s="346"/>
      <c r="H82" s="346"/>
      <c r="I82" s="346"/>
      <c r="J82" s="346"/>
    </row>
    <row r="83" spans="1:11" x14ac:dyDescent="0.25">
      <c r="A83" s="618"/>
      <c r="B83" s="618"/>
      <c r="C83" s="618"/>
      <c r="D83" s="618"/>
      <c r="E83" s="618"/>
      <c r="F83" s="618"/>
      <c r="G83" s="618"/>
      <c r="H83" s="618"/>
      <c r="I83" s="618"/>
      <c r="J83" s="439"/>
    </row>
    <row r="84" spans="1:11" x14ac:dyDescent="0.25">
      <c r="A84" s="618"/>
      <c r="B84" s="618"/>
      <c r="C84" s="618"/>
      <c r="D84" s="618"/>
      <c r="E84" s="618"/>
      <c r="F84" s="618"/>
      <c r="G84" s="618"/>
      <c r="H84" s="618"/>
      <c r="I84" s="618"/>
      <c r="J84" s="439"/>
    </row>
    <row r="85" spans="1:11" x14ac:dyDescent="0.25">
      <c r="A85" s="618"/>
      <c r="B85" s="618"/>
      <c r="C85" s="618"/>
      <c r="D85" s="618"/>
      <c r="E85" s="618"/>
      <c r="F85" s="618"/>
      <c r="G85" s="618"/>
      <c r="H85" s="618"/>
      <c r="I85" s="618"/>
      <c r="J85" s="439"/>
    </row>
    <row r="86" spans="1:11" x14ac:dyDescent="0.25">
      <c r="A86" s="618"/>
      <c r="B86" s="618"/>
      <c r="C86" s="618"/>
      <c r="D86" s="618"/>
      <c r="E86" s="618"/>
      <c r="F86" s="618"/>
      <c r="G86" s="618"/>
      <c r="H86" s="618"/>
      <c r="I86" s="618"/>
      <c r="J86" s="439"/>
    </row>
    <row r="87" spans="1:11" x14ac:dyDescent="0.25">
      <c r="A87" s="618"/>
      <c r="B87" s="618"/>
      <c r="C87" s="618"/>
      <c r="D87" s="618"/>
      <c r="E87" s="618"/>
      <c r="F87" s="618"/>
      <c r="G87" s="618"/>
      <c r="H87" s="618"/>
      <c r="I87" s="618"/>
      <c r="J87" s="439"/>
    </row>
    <row r="88" spans="1:11" x14ac:dyDescent="0.25">
      <c r="A88" s="618"/>
      <c r="B88" s="618"/>
      <c r="C88" s="618"/>
      <c r="D88" s="618"/>
      <c r="E88" s="618"/>
      <c r="F88" s="618"/>
      <c r="G88" s="618"/>
      <c r="H88" s="618"/>
      <c r="I88" s="618"/>
      <c r="J88" s="439"/>
    </row>
    <row r="89" spans="1:11" x14ac:dyDescent="0.25">
      <c r="A89" s="618"/>
      <c r="B89" s="618"/>
      <c r="C89" s="618"/>
      <c r="D89" s="618"/>
      <c r="E89" s="618"/>
      <c r="F89" s="618"/>
      <c r="G89" s="618"/>
      <c r="H89" s="618"/>
      <c r="I89" s="618"/>
      <c r="J89" s="439"/>
    </row>
    <row r="90" spans="1:11" x14ac:dyDescent="0.25">
      <c r="A90" s="618"/>
      <c r="B90" s="618"/>
      <c r="C90" s="618"/>
      <c r="D90" s="618"/>
      <c r="E90" s="618"/>
      <c r="F90" s="618"/>
      <c r="G90" s="618"/>
      <c r="H90" s="618"/>
      <c r="I90" s="618"/>
      <c r="J90" s="439"/>
    </row>
    <row r="91" spans="1:11" x14ac:dyDescent="0.25">
      <c r="A91" s="618"/>
      <c r="B91" s="618"/>
      <c r="C91" s="618"/>
      <c r="D91" s="618"/>
      <c r="E91" s="618"/>
      <c r="F91" s="618"/>
      <c r="G91" s="618"/>
      <c r="H91" s="618"/>
      <c r="I91" s="618"/>
      <c r="J91" s="439"/>
    </row>
    <row r="92" spans="1:11" x14ac:dyDescent="0.25">
      <c r="A92" s="618"/>
      <c r="B92" s="618"/>
      <c r="C92" s="618"/>
      <c r="D92" s="618"/>
      <c r="E92" s="618"/>
      <c r="F92" s="618"/>
      <c r="G92" s="618"/>
      <c r="H92" s="618"/>
      <c r="I92" s="618"/>
      <c r="J92" s="439"/>
    </row>
    <row r="93" spans="1:11" x14ac:dyDescent="0.25">
      <c r="A93" s="618"/>
      <c r="B93" s="618"/>
      <c r="C93" s="618"/>
      <c r="D93" s="618"/>
      <c r="E93" s="618"/>
      <c r="F93" s="618"/>
      <c r="G93" s="618"/>
      <c r="H93" s="618"/>
      <c r="I93" s="618"/>
      <c r="J93" s="439"/>
    </row>
    <row r="94" spans="1:11" x14ac:dyDescent="0.25">
      <c r="A94" s="35"/>
    </row>
    <row r="95" spans="1:11" x14ac:dyDescent="0.25">
      <c r="A95" s="440" t="s">
        <v>385</v>
      </c>
      <c r="B95" s="346"/>
      <c r="C95" s="346"/>
      <c r="D95" s="346"/>
      <c r="E95" s="346"/>
      <c r="F95" s="346"/>
      <c r="G95" s="346"/>
      <c r="H95" s="346"/>
      <c r="I95" s="346"/>
      <c r="J95" s="346"/>
      <c r="K95" s="346"/>
    </row>
    <row r="96" spans="1:11" s="25" customFormat="1" x14ac:dyDescent="0.25">
      <c r="A96" s="355"/>
      <c r="B96" s="346"/>
      <c r="C96" s="346"/>
      <c r="D96" s="346"/>
      <c r="E96" s="346"/>
      <c r="F96" s="346"/>
      <c r="G96" s="346"/>
      <c r="H96" s="346"/>
      <c r="I96" s="346"/>
      <c r="J96" s="346"/>
      <c r="K96" s="346"/>
    </row>
    <row r="97" spans="1:10" x14ac:dyDescent="0.25">
      <c r="A97" s="618"/>
      <c r="B97" s="618"/>
      <c r="C97" s="618"/>
      <c r="D97" s="618"/>
      <c r="E97" s="618"/>
      <c r="F97" s="618"/>
      <c r="G97" s="618"/>
      <c r="H97" s="618"/>
      <c r="I97" s="618"/>
      <c r="J97" s="439"/>
    </row>
    <row r="98" spans="1:10" x14ac:dyDescent="0.25">
      <c r="A98" s="618"/>
      <c r="B98" s="618"/>
      <c r="C98" s="618"/>
      <c r="D98" s="618"/>
      <c r="E98" s="618"/>
      <c r="F98" s="618"/>
      <c r="G98" s="618"/>
      <c r="H98" s="618"/>
      <c r="I98" s="618"/>
      <c r="J98" s="439"/>
    </row>
    <row r="99" spans="1:10" x14ac:dyDescent="0.25">
      <c r="A99" s="618"/>
      <c r="B99" s="618"/>
      <c r="C99" s="618"/>
      <c r="D99" s="618"/>
      <c r="E99" s="618"/>
      <c r="F99" s="618"/>
      <c r="G99" s="618"/>
      <c r="H99" s="618"/>
      <c r="I99" s="618"/>
      <c r="J99" s="439"/>
    </row>
    <row r="100" spans="1:10" x14ac:dyDescent="0.25">
      <c r="A100" s="618"/>
      <c r="B100" s="618"/>
      <c r="C100" s="618"/>
      <c r="D100" s="618"/>
      <c r="E100" s="618"/>
      <c r="F100" s="618"/>
      <c r="G100" s="618"/>
      <c r="H100" s="618"/>
      <c r="I100" s="618"/>
      <c r="J100" s="439"/>
    </row>
    <row r="101" spans="1:10" x14ac:dyDescent="0.25">
      <c r="A101" s="618"/>
      <c r="B101" s="618"/>
      <c r="C101" s="618"/>
      <c r="D101" s="618"/>
      <c r="E101" s="618"/>
      <c r="F101" s="618"/>
      <c r="G101" s="618"/>
      <c r="H101" s="618"/>
      <c r="I101" s="618"/>
      <c r="J101" s="439"/>
    </row>
    <row r="102" spans="1:10" x14ac:dyDescent="0.25">
      <c r="A102" s="618"/>
      <c r="B102" s="618"/>
      <c r="C102" s="618"/>
      <c r="D102" s="618"/>
      <c r="E102" s="618"/>
      <c r="F102" s="618"/>
      <c r="G102" s="618"/>
      <c r="H102" s="618"/>
      <c r="I102" s="618"/>
      <c r="J102" s="439"/>
    </row>
    <row r="103" spans="1:10" x14ac:dyDescent="0.25">
      <c r="A103" s="618"/>
      <c r="B103" s="618"/>
      <c r="C103" s="618"/>
      <c r="D103" s="618"/>
      <c r="E103" s="618"/>
      <c r="F103" s="618"/>
      <c r="G103" s="618"/>
      <c r="H103" s="618"/>
      <c r="I103" s="618"/>
      <c r="J103" s="439"/>
    </row>
    <row r="104" spans="1:10" x14ac:dyDescent="0.25">
      <c r="A104" s="618"/>
      <c r="B104" s="618"/>
      <c r="C104" s="618"/>
      <c r="D104" s="618"/>
      <c r="E104" s="618"/>
      <c r="F104" s="618"/>
      <c r="G104" s="618"/>
      <c r="H104" s="618"/>
      <c r="I104" s="618"/>
      <c r="J104" s="439"/>
    </row>
    <row r="105" spans="1:10" x14ac:dyDescent="0.25">
      <c r="A105" s="618"/>
      <c r="B105" s="618"/>
      <c r="C105" s="618"/>
      <c r="D105" s="618"/>
      <c r="E105" s="618"/>
      <c r="F105" s="618"/>
      <c r="G105" s="618"/>
      <c r="H105" s="618"/>
      <c r="I105" s="618"/>
      <c r="J105" s="439"/>
    </row>
    <row r="106" spans="1:10" x14ac:dyDescent="0.25">
      <c r="A106" s="618"/>
      <c r="B106" s="618"/>
      <c r="C106" s="618"/>
      <c r="D106" s="618"/>
      <c r="E106" s="618"/>
      <c r="F106" s="618"/>
      <c r="G106" s="618"/>
      <c r="H106" s="618"/>
      <c r="I106" s="618"/>
      <c r="J106" s="439"/>
    </row>
    <row r="107" spans="1:10" x14ac:dyDescent="0.25">
      <c r="A107" s="618"/>
      <c r="B107" s="618"/>
      <c r="C107" s="618"/>
      <c r="D107" s="618"/>
      <c r="E107" s="618"/>
      <c r="F107" s="618"/>
      <c r="G107" s="618"/>
      <c r="H107" s="618"/>
      <c r="I107" s="618"/>
      <c r="J107" s="439"/>
    </row>
    <row r="108" spans="1:10" x14ac:dyDescent="0.25">
      <c r="A108" s="437"/>
      <c r="B108" s="439"/>
      <c r="C108" s="439"/>
      <c r="D108" s="439"/>
      <c r="E108" s="439"/>
      <c r="F108" s="439"/>
      <c r="G108" s="439"/>
      <c r="H108" s="439"/>
      <c r="I108" s="439"/>
      <c r="J108" s="439"/>
    </row>
    <row r="110" spans="1:10" ht="15.75" customHeight="1" x14ac:dyDescent="0.25">
      <c r="E110" s="430" t="str">
        <f>'F6'!F113</f>
        <v>Jakarta, 15 Juni 2010</v>
      </c>
      <c r="F110" s="430"/>
      <c r="H110" s="430"/>
      <c r="I110" s="359"/>
    </row>
    <row r="111" spans="1:10" ht="15.75" x14ac:dyDescent="0.25">
      <c r="A111" s="2"/>
      <c r="E111" s="25"/>
      <c r="F111" s="25"/>
    </row>
    <row r="112" spans="1:10" ht="15" customHeight="1" x14ac:dyDescent="0.25">
      <c r="A112" s="385" t="str">
        <f>'F6'!A116</f>
        <v>Nama Asr-1: Dr. I G.P. Purnaba, DEA</v>
      </c>
      <c r="B112" s="385"/>
      <c r="C112" s="19"/>
      <c r="E112" s="385" t="str">
        <f>'F6'!F116</f>
        <v>Nama Asr-2:</v>
      </c>
      <c r="F112" s="385"/>
    </row>
    <row r="113" spans="1:6" x14ac:dyDescent="0.25">
      <c r="A113" s="19"/>
      <c r="B113" s="33"/>
      <c r="C113" s="19"/>
      <c r="D113" s="19"/>
      <c r="E113" s="25"/>
      <c r="F113" s="25"/>
    </row>
    <row r="114" spans="1:6" x14ac:dyDescent="0.25">
      <c r="A114" s="19"/>
      <c r="B114" s="33"/>
      <c r="C114" s="19"/>
      <c r="D114" s="19"/>
      <c r="E114" s="25"/>
      <c r="F114" s="25"/>
    </row>
    <row r="115" spans="1:6" ht="15" customHeight="1" x14ac:dyDescent="0.25">
      <c r="A115" s="566" t="s">
        <v>181</v>
      </c>
      <c r="B115" s="566"/>
      <c r="C115" s="19"/>
      <c r="E115" s="350" t="s">
        <v>181</v>
      </c>
      <c r="F115" s="340"/>
    </row>
    <row r="116" spans="1:6" x14ac:dyDescent="0.25">
      <c r="A116" s="19"/>
      <c r="B116" s="19"/>
      <c r="C116" s="19"/>
      <c r="D116" s="19"/>
      <c r="E116" s="19"/>
    </row>
  </sheetData>
  <mergeCells count="15">
    <mergeCell ref="A115:B115"/>
    <mergeCell ref="A68:I78"/>
    <mergeCell ref="A83:I93"/>
    <mergeCell ref="A97:I107"/>
    <mergeCell ref="A1:I1"/>
    <mergeCell ref="A7:I7"/>
    <mergeCell ref="A39:I49"/>
    <mergeCell ref="A54:I64"/>
    <mergeCell ref="A11:I22"/>
    <mergeCell ref="A25:I35"/>
    <mergeCell ref="A52:I52"/>
    <mergeCell ref="A3:C3"/>
    <mergeCell ref="A4:C4"/>
    <mergeCell ref="A5:C5"/>
    <mergeCell ref="A6:C6"/>
  </mergeCells>
  <pageMargins left="0.98"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06"/>
  <sheetViews>
    <sheetView topLeftCell="A19" workbookViewId="0">
      <selection activeCell="H27" sqref="H27"/>
    </sheetView>
  </sheetViews>
  <sheetFormatPr defaultRowHeight="15" x14ac:dyDescent="0.25"/>
  <cols>
    <col min="1" max="1" width="9.140625" style="4"/>
    <col min="2" max="2" width="9.140625" style="8"/>
    <col min="4" max="4" width="9.140625" style="4"/>
    <col min="6" max="7" width="9.140625" style="4"/>
    <col min="8" max="8" width="14.7109375" style="4" customWidth="1"/>
    <col min="10" max="13" width="9.140625" style="4"/>
  </cols>
  <sheetData>
    <row r="2" spans="1:14" x14ac:dyDescent="0.25">
      <c r="A2" s="621" t="s">
        <v>513</v>
      </c>
      <c r="B2" s="621"/>
      <c r="C2" s="621"/>
      <c r="D2" s="621"/>
      <c r="E2" s="621"/>
      <c r="J2" s="621" t="s">
        <v>514</v>
      </c>
      <c r="K2" s="621"/>
      <c r="L2" s="621"/>
      <c r="M2" s="621"/>
      <c r="N2" s="621"/>
    </row>
    <row r="4" spans="1:14" x14ac:dyDescent="0.25">
      <c r="A4" s="622" t="s">
        <v>338</v>
      </c>
      <c r="B4" s="620" t="s">
        <v>339</v>
      </c>
      <c r="C4" s="620"/>
      <c r="D4" s="620"/>
      <c r="E4" s="620"/>
      <c r="J4" s="620" t="s">
        <v>361</v>
      </c>
      <c r="K4" s="620" t="s">
        <v>339</v>
      </c>
      <c r="L4" s="620"/>
      <c r="M4" s="620"/>
      <c r="N4" s="620"/>
    </row>
    <row r="5" spans="1:14" x14ac:dyDescent="0.25">
      <c r="A5" s="622"/>
      <c r="B5" s="43" t="s">
        <v>337</v>
      </c>
      <c r="C5" s="44" t="s">
        <v>342</v>
      </c>
      <c r="D5" s="620" t="s">
        <v>341</v>
      </c>
      <c r="E5" s="620"/>
      <c r="J5" s="620"/>
      <c r="K5" s="44" t="s">
        <v>363</v>
      </c>
      <c r="L5" s="44" t="s">
        <v>364</v>
      </c>
      <c r="M5" s="620" t="s">
        <v>365</v>
      </c>
      <c r="N5" s="620"/>
    </row>
    <row r="6" spans="1:14" x14ac:dyDescent="0.25">
      <c r="A6" s="44">
        <v>1</v>
      </c>
      <c r="B6" s="64">
        <f>'F 1'!H13</f>
        <v>2.08</v>
      </c>
      <c r="C6" s="66">
        <f>'F 3'!H12</f>
        <v>1.59</v>
      </c>
      <c r="D6" s="44" t="s">
        <v>343</v>
      </c>
      <c r="E6" s="44"/>
      <c r="J6" s="44">
        <v>1</v>
      </c>
      <c r="K6" s="66">
        <f>'F6'!J11</f>
        <v>1.04</v>
      </c>
      <c r="L6" s="66">
        <f>'F 8'!J10</f>
        <v>0.79500000000000004</v>
      </c>
      <c r="M6" s="44" t="s">
        <v>362</v>
      </c>
      <c r="N6" s="45"/>
    </row>
    <row r="7" spans="1:14" x14ac:dyDescent="0.25">
      <c r="A7" s="44">
        <f>A6+1</f>
        <v>2</v>
      </c>
      <c r="B7" s="64">
        <f>'F 1'!H14</f>
        <v>1.04</v>
      </c>
      <c r="C7" s="66">
        <f>'F 3'!H13</f>
        <v>1.59</v>
      </c>
      <c r="D7" s="44" t="s">
        <v>345</v>
      </c>
      <c r="E7" s="66">
        <f>'F2'!G14</f>
        <v>31.25</v>
      </c>
      <c r="J7" s="44">
        <f>J6+1</f>
        <v>2</v>
      </c>
      <c r="K7" s="66">
        <f>'F6'!J12</f>
        <v>0.52</v>
      </c>
      <c r="L7" s="66">
        <f>'F 8'!J11</f>
        <v>0.79500000000000004</v>
      </c>
      <c r="M7" s="44" t="s">
        <v>345</v>
      </c>
      <c r="N7" s="73">
        <f>'F 7'!J11</f>
        <v>15.625</v>
      </c>
    </row>
    <row r="8" spans="1:14" x14ac:dyDescent="0.25">
      <c r="A8" s="44">
        <f t="shared" ref="A8:A71" si="0">A7+1</f>
        <v>3</v>
      </c>
      <c r="B8" s="64">
        <f>'F 1'!H15</f>
        <v>2.08</v>
      </c>
      <c r="C8" s="66">
        <f>'F 3'!H14</f>
        <v>1.59</v>
      </c>
      <c r="D8" s="44" t="s">
        <v>344</v>
      </c>
      <c r="E8" s="66">
        <f>'F2'!G15</f>
        <v>25</v>
      </c>
      <c r="J8" s="44">
        <f t="shared" ref="J8:J71" si="1">J7+1</f>
        <v>3</v>
      </c>
      <c r="K8" s="66">
        <f>'F6'!J13</f>
        <v>1.04</v>
      </c>
      <c r="L8" s="66">
        <f>'F 8'!J12</f>
        <v>0.79500000000000004</v>
      </c>
      <c r="M8" s="44" t="s">
        <v>344</v>
      </c>
      <c r="N8" s="73">
        <f>'F 7'!J12</f>
        <v>12.5</v>
      </c>
    </row>
    <row r="9" spans="1:14" x14ac:dyDescent="0.25">
      <c r="A9" s="44">
        <f t="shared" si="0"/>
        <v>4</v>
      </c>
      <c r="B9" s="64">
        <f>'F 1'!H16</f>
        <v>2.78</v>
      </c>
      <c r="C9" s="66">
        <f>'F 3'!H15</f>
        <v>0</v>
      </c>
      <c r="D9" s="44" t="s">
        <v>346</v>
      </c>
      <c r="E9" s="66">
        <f>'F2'!G17</f>
        <v>18.75</v>
      </c>
      <c r="J9" s="44">
        <f t="shared" si="1"/>
        <v>4</v>
      </c>
      <c r="K9" s="66">
        <f>'F6'!J14</f>
        <v>1.39</v>
      </c>
      <c r="L9" s="66">
        <f>'F 8'!J13</f>
        <v>0</v>
      </c>
      <c r="M9" s="44" t="s">
        <v>346</v>
      </c>
      <c r="N9" s="73">
        <f>'F 7'!J14</f>
        <v>9.375</v>
      </c>
    </row>
    <row r="10" spans="1:14" x14ac:dyDescent="0.25">
      <c r="A10" s="44">
        <f t="shared" si="0"/>
        <v>5</v>
      </c>
      <c r="B10" s="64">
        <f>'F 1'!H17</f>
        <v>1.7249999999999999</v>
      </c>
      <c r="C10" s="66">
        <f>'F 3'!H16</f>
        <v>1.43</v>
      </c>
      <c r="D10" s="44" t="s">
        <v>347</v>
      </c>
      <c r="E10" s="66">
        <f>'F2'!G18</f>
        <v>22.5</v>
      </c>
      <c r="J10" s="44">
        <f t="shared" si="1"/>
        <v>5</v>
      </c>
      <c r="K10" s="66">
        <f>'F6'!J15</f>
        <v>0.86249999999999993</v>
      </c>
      <c r="L10" s="66">
        <f>'F 8'!J14</f>
        <v>0.71499999999999997</v>
      </c>
      <c r="M10" s="44" t="s">
        <v>347</v>
      </c>
      <c r="N10" s="73">
        <f>'F 7'!J15</f>
        <v>11.25</v>
      </c>
    </row>
    <row r="11" spans="1:14" x14ac:dyDescent="0.25">
      <c r="A11" s="44">
        <f t="shared" si="0"/>
        <v>6</v>
      </c>
      <c r="B11" s="64">
        <f>'F 1'!H18</f>
        <v>4.17</v>
      </c>
      <c r="C11" s="66">
        <f>'F 3'!H17</f>
        <v>2.86</v>
      </c>
      <c r="D11" s="44" t="s">
        <v>348</v>
      </c>
      <c r="E11" s="66">
        <f>'F2'!G19</f>
        <v>22.5</v>
      </c>
      <c r="J11" s="44">
        <f t="shared" si="1"/>
        <v>6</v>
      </c>
      <c r="K11" s="66">
        <f>'F6'!J16</f>
        <v>2.085</v>
      </c>
      <c r="L11" s="66">
        <f>'F 8'!J15</f>
        <v>1.43</v>
      </c>
      <c r="M11" s="44" t="s">
        <v>348</v>
      </c>
      <c r="N11" s="73">
        <f>'F 7'!J16</f>
        <v>11.25</v>
      </c>
    </row>
    <row r="12" spans="1:14" x14ac:dyDescent="0.25">
      <c r="A12" s="44">
        <f t="shared" si="0"/>
        <v>7</v>
      </c>
      <c r="B12" s="64">
        <f>'F 1'!H19</f>
        <v>3.4749999999999996</v>
      </c>
      <c r="C12" s="66">
        <f>'F 3'!H18</f>
        <v>0</v>
      </c>
      <c r="D12" s="44" t="s">
        <v>349</v>
      </c>
      <c r="E12" s="66">
        <f>'F2'!G20</f>
        <v>22.5</v>
      </c>
      <c r="J12" s="44">
        <f t="shared" si="1"/>
        <v>7</v>
      </c>
      <c r="K12" s="66">
        <f>'F6'!J17</f>
        <v>1.7374999999999998</v>
      </c>
      <c r="L12" s="66">
        <f>'F 8'!J16</f>
        <v>0</v>
      </c>
      <c r="M12" s="44" t="s">
        <v>349</v>
      </c>
      <c r="N12" s="73">
        <f>'F 7'!J17</f>
        <v>11.25</v>
      </c>
    </row>
    <row r="13" spans="1:14" x14ac:dyDescent="0.25">
      <c r="A13" s="44">
        <f t="shared" si="0"/>
        <v>8</v>
      </c>
      <c r="B13" s="64">
        <f>'F 1'!H20</f>
        <v>1.38</v>
      </c>
      <c r="C13" s="66">
        <f>'F 3'!H19</f>
        <v>0</v>
      </c>
      <c r="D13" s="44" t="s">
        <v>350</v>
      </c>
      <c r="E13" s="66">
        <f>'F2'!G22</f>
        <v>30</v>
      </c>
      <c r="J13" s="44">
        <f t="shared" si="1"/>
        <v>8</v>
      </c>
      <c r="K13" s="66">
        <f>'F6'!J18</f>
        <v>0.69</v>
      </c>
      <c r="L13" s="66">
        <f>'F 8'!J17</f>
        <v>0</v>
      </c>
      <c r="M13" s="44" t="s">
        <v>350</v>
      </c>
      <c r="N13" s="73">
        <f>'F 7'!J19</f>
        <v>15</v>
      </c>
    </row>
    <row r="14" spans="1:14" x14ac:dyDescent="0.25">
      <c r="A14" s="44">
        <f t="shared" si="0"/>
        <v>9</v>
      </c>
      <c r="B14" s="64">
        <f>'F 1'!H21</f>
        <v>2.0699999999999998</v>
      </c>
      <c r="C14" s="66">
        <f>'F 3'!H20</f>
        <v>0</v>
      </c>
      <c r="D14" s="44" t="s">
        <v>351</v>
      </c>
      <c r="E14" s="66">
        <f>'F2'!G23</f>
        <v>12.5</v>
      </c>
      <c r="J14" s="44">
        <f t="shared" si="1"/>
        <v>9</v>
      </c>
      <c r="K14" s="66">
        <f>'F6'!J19</f>
        <v>1.0349999999999999</v>
      </c>
      <c r="L14" s="66">
        <f>'F 8'!J18</f>
        <v>0</v>
      </c>
      <c r="M14" s="44" t="s">
        <v>351</v>
      </c>
      <c r="N14" s="73">
        <f>'F 7'!J20</f>
        <v>6.25</v>
      </c>
    </row>
    <row r="15" spans="1:14" x14ac:dyDescent="0.25">
      <c r="A15" s="44">
        <f t="shared" si="0"/>
        <v>10</v>
      </c>
      <c r="B15" s="64">
        <f>'F 1'!H22</f>
        <v>3.9585000000000004</v>
      </c>
      <c r="C15" s="66">
        <f>'F 3'!H21</f>
        <v>0</v>
      </c>
      <c r="D15" s="44" t="s">
        <v>352</v>
      </c>
      <c r="E15" s="66">
        <f>'F2'!G24</f>
        <v>12.5</v>
      </c>
      <c r="J15" s="44">
        <f t="shared" si="1"/>
        <v>10</v>
      </c>
      <c r="K15" s="66">
        <f>'F6'!J20</f>
        <v>1.9792500000000002</v>
      </c>
      <c r="L15" s="66">
        <f>'F 8'!J19</f>
        <v>0</v>
      </c>
      <c r="M15" s="44" t="s">
        <v>352</v>
      </c>
      <c r="N15" s="73">
        <f>'F 7'!J21</f>
        <v>6.25</v>
      </c>
    </row>
    <row r="16" spans="1:14" x14ac:dyDescent="0.25">
      <c r="A16" s="44">
        <f t="shared" si="0"/>
        <v>11</v>
      </c>
      <c r="B16" s="64">
        <f>'F 1'!H23</f>
        <v>1.2630878438331854</v>
      </c>
      <c r="C16" s="66">
        <f>'F 3'!H22</f>
        <v>19.04</v>
      </c>
      <c r="D16" s="44" t="s">
        <v>353</v>
      </c>
      <c r="E16" s="66">
        <f>'F2'!G26</f>
        <v>37.5</v>
      </c>
      <c r="J16" s="44">
        <f t="shared" si="1"/>
        <v>11</v>
      </c>
      <c r="K16" s="66">
        <f>'F6'!J21</f>
        <v>0.6315439219165927</v>
      </c>
      <c r="L16" s="66">
        <f>'F 8'!J20</f>
        <v>9.52</v>
      </c>
      <c r="M16" s="44" t="s">
        <v>353</v>
      </c>
      <c r="N16" s="73">
        <f>'F 7'!J23</f>
        <v>18.75</v>
      </c>
    </row>
    <row r="17" spans="1:14" x14ac:dyDescent="0.25">
      <c r="A17" s="44">
        <f t="shared" si="0"/>
        <v>12</v>
      </c>
      <c r="B17" s="64">
        <f>'F 1'!H24</f>
        <v>2.3194736842105264</v>
      </c>
      <c r="C17" s="66">
        <f>'F 3'!H23</f>
        <v>2.38</v>
      </c>
      <c r="D17" s="44" t="s">
        <v>354</v>
      </c>
      <c r="E17" s="66">
        <f>'F2'!G27</f>
        <v>37.5</v>
      </c>
      <c r="J17" s="44">
        <f t="shared" si="1"/>
        <v>12</v>
      </c>
      <c r="K17" s="66">
        <f>'F6'!J22</f>
        <v>1.1597368421052632</v>
      </c>
      <c r="L17" s="66">
        <f>'F 8'!J21</f>
        <v>1.19</v>
      </c>
      <c r="M17" s="44" t="s">
        <v>354</v>
      </c>
      <c r="N17" s="73">
        <f>'F 7'!J24</f>
        <v>18.75</v>
      </c>
    </row>
    <row r="18" spans="1:14" x14ac:dyDescent="0.25">
      <c r="A18" s="44">
        <f t="shared" si="0"/>
        <v>13</v>
      </c>
      <c r="B18" s="64">
        <f>'F 1'!H25</f>
        <v>4.2945882352941167</v>
      </c>
      <c r="C18" s="66">
        <f>'F 3'!H24</f>
        <v>10.472</v>
      </c>
      <c r="D18" s="47" t="s">
        <v>355</v>
      </c>
      <c r="E18" s="72">
        <f>SUM(E7:E17)</f>
        <v>272.5</v>
      </c>
      <c r="J18" s="44">
        <f t="shared" si="1"/>
        <v>13</v>
      </c>
      <c r="K18" s="66">
        <f>'F6'!J23</f>
        <v>2.1472941176470584</v>
      </c>
      <c r="L18" s="66">
        <f>'F 8'!J22</f>
        <v>5.2359999999999998</v>
      </c>
      <c r="M18" s="47" t="s">
        <v>355</v>
      </c>
      <c r="N18" s="74">
        <f>SUM(N7:N17)</f>
        <v>136.25</v>
      </c>
    </row>
    <row r="19" spans="1:14" x14ac:dyDescent="0.25">
      <c r="A19" s="44">
        <f t="shared" si="0"/>
        <v>14</v>
      </c>
      <c r="B19" s="64">
        <f>'F 1'!H26</f>
        <v>0</v>
      </c>
      <c r="C19" s="66">
        <f>'F 3'!H25</f>
        <v>9.52</v>
      </c>
      <c r="J19" s="44">
        <f t="shared" si="1"/>
        <v>14</v>
      </c>
      <c r="K19" s="66">
        <f>'F6'!J24</f>
        <v>0</v>
      </c>
      <c r="L19" s="66">
        <f>'F 8'!J23</f>
        <v>4.76</v>
      </c>
    </row>
    <row r="20" spans="1:14" x14ac:dyDescent="0.25">
      <c r="A20" s="44">
        <f t="shared" si="0"/>
        <v>15</v>
      </c>
      <c r="B20" s="64">
        <f>'F 1'!H27</f>
        <v>1.3</v>
      </c>
      <c r="C20" s="66">
        <f>'F 3'!H26</f>
        <v>21.759999999999998</v>
      </c>
      <c r="J20" s="44">
        <f t="shared" si="1"/>
        <v>15</v>
      </c>
      <c r="K20" s="66">
        <f>'F6'!J25</f>
        <v>0.65</v>
      </c>
      <c r="L20" s="66">
        <f>'F 8'!J24</f>
        <v>10.879999999999999</v>
      </c>
    </row>
    <row r="21" spans="1:14" x14ac:dyDescent="0.25">
      <c r="A21" s="44">
        <f t="shared" si="0"/>
        <v>16</v>
      </c>
      <c r="B21" s="64">
        <f>'F 1'!H28</f>
        <v>2.1320000000000001</v>
      </c>
      <c r="C21" s="66">
        <f>'F 3'!H27</f>
        <v>2.72</v>
      </c>
      <c r="E21" s="629" t="s">
        <v>511</v>
      </c>
      <c r="F21" s="630"/>
      <c r="G21" s="630"/>
      <c r="H21" s="631"/>
      <c r="J21" s="44">
        <f t="shared" si="1"/>
        <v>16</v>
      </c>
      <c r="K21" s="66">
        <f>'F6'!J26</f>
        <v>1.0660000000000001</v>
      </c>
      <c r="L21" s="66">
        <f>'F 8'!J25</f>
        <v>1.36</v>
      </c>
    </row>
    <row r="22" spans="1:14" x14ac:dyDescent="0.25">
      <c r="A22" s="44">
        <f t="shared" si="0"/>
        <v>17</v>
      </c>
      <c r="B22" s="64">
        <f>'F 1'!H29</f>
        <v>1.943089430894309</v>
      </c>
      <c r="C22" s="66">
        <f>'F 3'!H28</f>
        <v>2.5500000000000003</v>
      </c>
      <c r="E22" s="45"/>
      <c r="F22" s="44" t="s">
        <v>357</v>
      </c>
      <c r="G22" s="44" t="s">
        <v>358</v>
      </c>
      <c r="H22" s="48" t="s">
        <v>359</v>
      </c>
      <c r="J22" s="44">
        <f t="shared" si="1"/>
        <v>17</v>
      </c>
      <c r="K22" s="66">
        <f>'F6'!J27</f>
        <v>0.97154471544715448</v>
      </c>
      <c r="L22" s="66">
        <f>'F 8'!J26</f>
        <v>1.2750000000000001</v>
      </c>
    </row>
    <row r="23" spans="1:14" x14ac:dyDescent="0.25">
      <c r="A23" s="44">
        <f t="shared" si="0"/>
        <v>18</v>
      </c>
      <c r="B23" s="64">
        <f>'F 1'!H30</f>
        <v>2.2749999999999999</v>
      </c>
      <c r="C23" s="66">
        <f>'F 3'!H29</f>
        <v>0</v>
      </c>
      <c r="E23" s="45" t="s">
        <v>356</v>
      </c>
      <c r="F23" s="66">
        <f>B106</f>
        <v>213.86239353944737</v>
      </c>
      <c r="G23" s="66">
        <v>0.75</v>
      </c>
      <c r="H23" s="66">
        <f>F23*G23</f>
        <v>160.39679515458553</v>
      </c>
      <c r="J23" s="44">
        <f t="shared" si="1"/>
        <v>18</v>
      </c>
      <c r="K23" s="66">
        <f>'F6'!J28</f>
        <v>1.1375</v>
      </c>
      <c r="L23" s="66">
        <f>'F 8'!J27</f>
        <v>0</v>
      </c>
    </row>
    <row r="24" spans="1:14" x14ac:dyDescent="0.25">
      <c r="A24" s="44">
        <f t="shared" si="0"/>
        <v>19</v>
      </c>
      <c r="B24" s="64">
        <f>'F 1'!H31</f>
        <v>1.6900000000000002</v>
      </c>
      <c r="C24" s="66">
        <f>'F 3'!H30</f>
        <v>2.72</v>
      </c>
      <c r="E24" s="45" t="s">
        <v>341</v>
      </c>
      <c r="F24" s="66">
        <f>E18</f>
        <v>272.5</v>
      </c>
      <c r="G24" s="66">
        <v>0.1</v>
      </c>
      <c r="H24" s="66">
        <f>F24*G24</f>
        <v>27.25</v>
      </c>
      <c r="J24" s="44">
        <f t="shared" si="1"/>
        <v>19</v>
      </c>
      <c r="K24" s="66">
        <f>'F6'!J29</f>
        <v>0.84500000000000008</v>
      </c>
      <c r="L24" s="66">
        <f>'F 8'!J28</f>
        <v>1.36</v>
      </c>
    </row>
    <row r="25" spans="1:14" x14ac:dyDescent="0.25">
      <c r="A25" s="44">
        <f t="shared" si="0"/>
        <v>20</v>
      </c>
      <c r="B25" s="64">
        <f>'F 1'!H32</f>
        <v>0.65</v>
      </c>
      <c r="C25" s="66">
        <f>'F 3'!H31</f>
        <v>4.7700000000000005</v>
      </c>
      <c r="E25" s="45" t="s">
        <v>342</v>
      </c>
      <c r="F25" s="66">
        <f>C106</f>
        <v>143.0419207321099</v>
      </c>
      <c r="G25" s="66">
        <v>0.15</v>
      </c>
      <c r="H25" s="66">
        <f>F25*G25</f>
        <v>21.456288109816484</v>
      </c>
      <c r="J25" s="44">
        <f t="shared" si="1"/>
        <v>20</v>
      </c>
      <c r="K25" s="66">
        <f>'F6'!J30</f>
        <v>0.32500000000000001</v>
      </c>
      <c r="L25" s="66">
        <f>'F 8'!J29</f>
        <v>2.3850000000000002</v>
      </c>
    </row>
    <row r="26" spans="1:14" x14ac:dyDescent="0.25">
      <c r="A26" s="44">
        <f t="shared" si="0"/>
        <v>21</v>
      </c>
      <c r="B26" s="64">
        <f>'F 1'!H33</f>
        <v>0.65</v>
      </c>
      <c r="C26" s="66">
        <f>'F 3'!H32</f>
        <v>3.18</v>
      </c>
      <c r="E26" s="623" t="s">
        <v>202</v>
      </c>
      <c r="F26" s="624"/>
      <c r="G26" s="625"/>
      <c r="H26" s="66">
        <f>SUM(H23:H25)</f>
        <v>209.10308326440202</v>
      </c>
      <c r="J26" s="44">
        <f t="shared" si="1"/>
        <v>21</v>
      </c>
      <c r="K26" s="66">
        <f>'F6'!J31</f>
        <v>0.32500000000000001</v>
      </c>
      <c r="L26" s="66">
        <f>'F 8'!J30</f>
        <v>1.59</v>
      </c>
    </row>
    <row r="27" spans="1:14" ht="18.75" x14ac:dyDescent="0.3">
      <c r="A27" s="44">
        <f t="shared" si="0"/>
        <v>22</v>
      </c>
      <c r="B27" s="64">
        <f>'F 1'!H34</f>
        <v>4.6428571428571432</v>
      </c>
      <c r="C27" s="66">
        <f>'F 3'!H33</f>
        <v>3.4980000000000007</v>
      </c>
      <c r="E27" s="626" t="s">
        <v>510</v>
      </c>
      <c r="F27" s="627"/>
      <c r="G27" s="628"/>
      <c r="H27" s="49" t="str">
        <f>IF(H26&gt;=200, "Lolos", "Tidak lolos")</f>
        <v>Lolos</v>
      </c>
      <c r="J27" s="44">
        <f t="shared" si="1"/>
        <v>22</v>
      </c>
      <c r="K27" s="66">
        <f>'F6'!J32</f>
        <v>2.3214285714285716</v>
      </c>
      <c r="L27" s="66">
        <f>'F 8'!J31</f>
        <v>1.7490000000000003</v>
      </c>
    </row>
    <row r="28" spans="1:14" x14ac:dyDescent="0.25">
      <c r="A28" s="44">
        <f t="shared" si="0"/>
        <v>23</v>
      </c>
      <c r="B28" s="64">
        <f>'F 1'!H35</f>
        <v>4.16</v>
      </c>
      <c r="C28" s="66">
        <f>'F 3'!H34</f>
        <v>1.1117725839617145</v>
      </c>
      <c r="J28" s="44">
        <f t="shared" si="1"/>
        <v>23</v>
      </c>
      <c r="K28" s="66">
        <f>'F6'!J33</f>
        <v>2.08</v>
      </c>
      <c r="L28" s="66">
        <f>'F 8'!J32</f>
        <v>0.55588629198085726</v>
      </c>
    </row>
    <row r="29" spans="1:14" x14ac:dyDescent="0.25">
      <c r="A29" s="44">
        <f t="shared" si="0"/>
        <v>24</v>
      </c>
      <c r="B29" s="64">
        <f>'F 1'!H36</f>
        <v>2.6</v>
      </c>
      <c r="C29" s="66">
        <f>'F 3'!H35</f>
        <v>0.52345679012345681</v>
      </c>
      <c r="J29" s="44">
        <f t="shared" si="1"/>
        <v>24</v>
      </c>
      <c r="K29" s="66">
        <f>'F6'!J34</f>
        <v>1.3</v>
      </c>
      <c r="L29" s="66">
        <f>'F 8'!J33</f>
        <v>0.2617283950617284</v>
      </c>
    </row>
    <row r="30" spans="1:14" x14ac:dyDescent="0.25">
      <c r="A30" s="44">
        <f t="shared" si="0"/>
        <v>25</v>
      </c>
      <c r="B30" s="64">
        <f>'F 1'!H37</f>
        <v>0.65</v>
      </c>
      <c r="C30" s="66">
        <f>'F 3'!H36</f>
        <v>0.52345679012345681</v>
      </c>
      <c r="E30" s="25"/>
      <c r="J30" s="44">
        <f t="shared" si="1"/>
        <v>25</v>
      </c>
      <c r="K30" s="66">
        <f>'F6'!J35</f>
        <v>0.32500000000000001</v>
      </c>
      <c r="L30" s="66">
        <f>'F 8'!J34</f>
        <v>0.2617283950617284</v>
      </c>
    </row>
    <row r="31" spans="1:14" x14ac:dyDescent="0.25">
      <c r="A31" s="44">
        <f t="shared" si="0"/>
        <v>26</v>
      </c>
      <c r="B31" s="64">
        <f>'F 1'!H38</f>
        <v>0.65</v>
      </c>
      <c r="C31" s="66">
        <f>'F 3'!H37</f>
        <v>2.12</v>
      </c>
      <c r="E31" s="629" t="s">
        <v>512</v>
      </c>
      <c r="F31" s="630"/>
      <c r="G31" s="630"/>
      <c r="H31" s="631"/>
      <c r="J31" s="44">
        <f t="shared" si="1"/>
        <v>26</v>
      </c>
      <c r="K31" s="66">
        <f>'F6'!J36</f>
        <v>0.32500000000000001</v>
      </c>
      <c r="L31" s="66">
        <f>'F 8'!J35</f>
        <v>1.06</v>
      </c>
    </row>
    <row r="32" spans="1:14" x14ac:dyDescent="0.25">
      <c r="A32" s="44">
        <f t="shared" si="0"/>
        <v>27</v>
      </c>
      <c r="B32" s="64">
        <f>'F 1'!H39</f>
        <v>2.16</v>
      </c>
      <c r="C32" s="66">
        <f>'F 3'!H38</f>
        <v>2.12</v>
      </c>
      <c r="E32" s="45" t="s">
        <v>363</v>
      </c>
      <c r="F32" s="61">
        <f>K106</f>
        <v>106.93119676972368</v>
      </c>
      <c r="G32" s="61">
        <v>0.75</v>
      </c>
      <c r="H32" s="61">
        <f>F32*G32</f>
        <v>80.198397577292766</v>
      </c>
      <c r="J32" s="44">
        <f t="shared" si="1"/>
        <v>27</v>
      </c>
      <c r="K32" s="66">
        <f>'F6'!J37</f>
        <v>1.08</v>
      </c>
      <c r="L32" s="66">
        <f>'F 8'!J36</f>
        <v>1.06</v>
      </c>
    </row>
    <row r="33" spans="1:12" x14ac:dyDescent="0.25">
      <c r="A33" s="44">
        <f t="shared" si="0"/>
        <v>28</v>
      </c>
      <c r="B33" s="64">
        <f>'F 1'!H40</f>
        <v>1.44</v>
      </c>
      <c r="C33" s="66">
        <f>'F 3'!H39</f>
        <v>4.24</v>
      </c>
      <c r="E33" s="45" t="s">
        <v>365</v>
      </c>
      <c r="F33" s="61">
        <f>N18</f>
        <v>136.25</v>
      </c>
      <c r="G33" s="61">
        <v>0.1</v>
      </c>
      <c r="H33" s="61">
        <f>F33*G33</f>
        <v>13.625</v>
      </c>
      <c r="J33" s="44">
        <f t="shared" si="1"/>
        <v>28</v>
      </c>
      <c r="K33" s="66">
        <f>'F6'!J38</f>
        <v>0.72</v>
      </c>
      <c r="L33" s="66">
        <f>'F 8'!J37</f>
        <v>2.12</v>
      </c>
    </row>
    <row r="34" spans="1:12" x14ac:dyDescent="0.25">
      <c r="A34" s="44">
        <f t="shared" si="0"/>
        <v>29</v>
      </c>
      <c r="B34" s="64">
        <f>'F 1'!H41</f>
        <v>2.86</v>
      </c>
      <c r="C34" s="66">
        <f>'F 3'!H40</f>
        <v>2.6500000000000004</v>
      </c>
      <c r="E34" s="45" t="s">
        <v>364</v>
      </c>
      <c r="F34" s="61">
        <f>L106</f>
        <v>71.52096036605495</v>
      </c>
      <c r="G34" s="61">
        <v>0.15</v>
      </c>
      <c r="H34" s="61">
        <f>F34*G34</f>
        <v>10.728144054908242</v>
      </c>
      <c r="J34" s="44">
        <f t="shared" si="1"/>
        <v>29</v>
      </c>
      <c r="K34" s="66">
        <f>'F6'!J39</f>
        <v>1.43</v>
      </c>
      <c r="L34" s="66">
        <f>'F 8'!J38</f>
        <v>1.3250000000000002</v>
      </c>
    </row>
    <row r="35" spans="1:12" ht="15.75" x14ac:dyDescent="0.25">
      <c r="A35" s="44">
        <f t="shared" si="0"/>
        <v>30</v>
      </c>
      <c r="B35" s="64">
        <f>'F 1'!H42</f>
        <v>5.0844444444444452</v>
      </c>
      <c r="C35" s="66">
        <f>'F 3'!H41</f>
        <v>5.3000000000000007</v>
      </c>
      <c r="E35" s="626" t="s">
        <v>366</v>
      </c>
      <c r="F35" s="627"/>
      <c r="G35" s="628"/>
      <c r="H35" s="44">
        <f>SUM(H32:H34)</f>
        <v>104.55154163220101</v>
      </c>
      <c r="J35" s="44">
        <f t="shared" si="1"/>
        <v>30</v>
      </c>
      <c r="K35" s="66">
        <f>'F6'!J40</f>
        <v>2.5422222222222226</v>
      </c>
      <c r="L35" s="66">
        <f>'F 8'!J39</f>
        <v>2.6500000000000004</v>
      </c>
    </row>
    <row r="36" spans="1:12" ht="15.75" customHeight="1" x14ac:dyDescent="0.25">
      <c r="A36" s="44">
        <f t="shared" si="0"/>
        <v>31</v>
      </c>
      <c r="B36" s="64">
        <f>'F 1'!H43</f>
        <v>6.0916666666666659</v>
      </c>
      <c r="C36" s="66">
        <f>'F 3'!H42</f>
        <v>2.12</v>
      </c>
      <c r="E36" s="634" t="s">
        <v>360</v>
      </c>
      <c r="F36" s="635"/>
      <c r="G36" s="636"/>
      <c r="H36" s="632" t="str">
        <f>IF(H35&gt;=361,"A",IF(H35&gt;=300,"B", IF(H35&gt;=200,"C", "TDK TERAKREDITASI")))</f>
        <v>TDK TERAKREDITASI</v>
      </c>
      <c r="J36" s="44">
        <f t="shared" si="1"/>
        <v>31</v>
      </c>
      <c r="K36" s="66">
        <f>'F6'!J41</f>
        <v>3.0458333333333329</v>
      </c>
      <c r="L36" s="66">
        <f>'F 8'!J40</f>
        <v>1.06</v>
      </c>
    </row>
    <row r="37" spans="1:12" x14ac:dyDescent="0.25">
      <c r="A37" s="44">
        <f t="shared" si="0"/>
        <v>32</v>
      </c>
      <c r="B37" s="64">
        <f>'F 1'!H44</f>
        <v>5.0049999999999999</v>
      </c>
      <c r="C37" s="66">
        <f>'F 3'!H43</f>
        <v>2.12</v>
      </c>
      <c r="E37" s="637"/>
      <c r="F37" s="638"/>
      <c r="G37" s="639"/>
      <c r="H37" s="633"/>
      <c r="J37" s="44">
        <f t="shared" si="1"/>
        <v>32</v>
      </c>
      <c r="K37" s="66">
        <f>'F6'!J42</f>
        <v>2.5024999999999999</v>
      </c>
      <c r="L37" s="66">
        <f>'F 8'!J41</f>
        <v>1.06</v>
      </c>
    </row>
    <row r="38" spans="1:12" x14ac:dyDescent="0.25">
      <c r="A38" s="44">
        <f t="shared" si="0"/>
        <v>33</v>
      </c>
      <c r="B38" s="64">
        <f>'F 1'!H45</f>
        <v>2.1927272727272724</v>
      </c>
      <c r="C38" s="66">
        <f>'F 3'!H44</f>
        <v>2.12</v>
      </c>
      <c r="J38" s="44">
        <f t="shared" si="1"/>
        <v>33</v>
      </c>
      <c r="K38" s="66">
        <f>'F6'!J43</f>
        <v>1.0963636363636362</v>
      </c>
      <c r="L38" s="66">
        <f>'F 8'!J42</f>
        <v>1.06</v>
      </c>
    </row>
    <row r="39" spans="1:12" x14ac:dyDescent="0.25">
      <c r="A39" s="44">
        <f t="shared" si="0"/>
        <v>34</v>
      </c>
      <c r="B39" s="64">
        <f>'F 1'!H46</f>
        <v>2.7670588235294113</v>
      </c>
      <c r="C39" s="66">
        <f>'F 3'!H45</f>
        <v>2.3320000000000003</v>
      </c>
      <c r="J39" s="44">
        <f t="shared" si="1"/>
        <v>34</v>
      </c>
      <c r="K39" s="66">
        <f>'F6'!J44</f>
        <v>1.3835294117647057</v>
      </c>
      <c r="L39" s="66">
        <f>'F 8'!J43</f>
        <v>1.1660000000000001</v>
      </c>
    </row>
    <row r="40" spans="1:12" x14ac:dyDescent="0.25">
      <c r="A40" s="44">
        <f t="shared" si="0"/>
        <v>35</v>
      </c>
      <c r="B40" s="64">
        <f>'F 1'!H47</f>
        <v>2.34</v>
      </c>
      <c r="C40" s="66">
        <f>'F 3'!H46</f>
        <v>2.12</v>
      </c>
      <c r="J40" s="44">
        <f t="shared" si="1"/>
        <v>35</v>
      </c>
      <c r="K40" s="66">
        <f>'F6'!J45</f>
        <v>1.17</v>
      </c>
      <c r="L40" s="66">
        <f>'F 8'!J44</f>
        <v>1.06</v>
      </c>
    </row>
    <row r="41" spans="1:12" x14ac:dyDescent="0.25">
      <c r="A41" s="44">
        <f t="shared" si="0"/>
        <v>36</v>
      </c>
      <c r="B41" s="64">
        <f>'F 1'!H48</f>
        <v>0.72</v>
      </c>
      <c r="C41" s="66">
        <f>'F 3'!H47</f>
        <v>1.06</v>
      </c>
      <c r="J41" s="44">
        <f t="shared" si="1"/>
        <v>36</v>
      </c>
      <c r="K41" s="66">
        <f>'F6'!J46</f>
        <v>0.36</v>
      </c>
      <c r="L41" s="66">
        <f>'F 8'!J45</f>
        <v>0.53</v>
      </c>
    </row>
    <row r="42" spans="1:12" x14ac:dyDescent="0.25">
      <c r="A42" s="44">
        <f t="shared" si="0"/>
        <v>37</v>
      </c>
      <c r="B42" s="64">
        <f>'F 1'!H49</f>
        <v>2.88</v>
      </c>
      <c r="C42" s="66">
        <f>'F 3'!H48</f>
        <v>5.6400000000000006</v>
      </c>
      <c r="J42" s="44">
        <f t="shared" si="1"/>
        <v>37</v>
      </c>
      <c r="K42" s="66">
        <f>'F6'!J47</f>
        <v>1.44</v>
      </c>
      <c r="L42" s="66">
        <f>'F 8'!J46</f>
        <v>2.8200000000000003</v>
      </c>
    </row>
    <row r="43" spans="1:12" x14ac:dyDescent="0.25">
      <c r="A43" s="44">
        <f>A42+1</f>
        <v>38</v>
      </c>
      <c r="B43" s="64">
        <f>'F 1'!H50</f>
        <v>1.3315068493150686</v>
      </c>
      <c r="C43" s="66">
        <f>'F 3'!H49</f>
        <v>5.7966666666666669</v>
      </c>
      <c r="J43" s="44">
        <f t="shared" si="1"/>
        <v>38</v>
      </c>
      <c r="K43" s="66">
        <f>'F6'!J48</f>
        <v>0.66575342465753429</v>
      </c>
      <c r="L43" s="66">
        <f>'F 8'!J47</f>
        <v>2.8983333333333334</v>
      </c>
    </row>
    <row r="44" spans="1:12" x14ac:dyDescent="0.25">
      <c r="A44" s="44">
        <f t="shared" si="0"/>
        <v>39</v>
      </c>
      <c r="B44" s="64">
        <f>'F 1'!H51</f>
        <v>2.16</v>
      </c>
      <c r="C44" s="66">
        <f>'F 3'!H50</f>
        <v>2.12</v>
      </c>
      <c r="J44" s="44">
        <f t="shared" si="1"/>
        <v>39</v>
      </c>
      <c r="K44" s="66">
        <f>'F6'!J49</f>
        <v>1.08</v>
      </c>
      <c r="L44" s="66">
        <f>'F 8'!J48</f>
        <v>1.06</v>
      </c>
    </row>
    <row r="45" spans="1:12" x14ac:dyDescent="0.25">
      <c r="A45" s="44">
        <f t="shared" si="0"/>
        <v>40</v>
      </c>
      <c r="B45" s="64">
        <f>'F 1'!H52</f>
        <v>2.88</v>
      </c>
      <c r="C45" s="66">
        <f>'F 3'!H51</f>
        <v>2.5911111111111116</v>
      </c>
      <c r="J45" s="44">
        <f t="shared" si="1"/>
        <v>40</v>
      </c>
      <c r="K45" s="66">
        <f>'F6'!J50</f>
        <v>1.44</v>
      </c>
      <c r="L45" s="66">
        <f>'F 8'!J49</f>
        <v>1.2955555555555558</v>
      </c>
    </row>
    <row r="46" spans="1:12" x14ac:dyDescent="0.25">
      <c r="A46" s="44">
        <f t="shared" si="0"/>
        <v>41</v>
      </c>
      <c r="B46" s="64">
        <f>'F 1'!H53</f>
        <v>1.6199999999999999</v>
      </c>
      <c r="C46" s="66">
        <f>'F 3'!H52</f>
        <v>2.6434567901234569</v>
      </c>
      <c r="J46" s="44">
        <f t="shared" si="1"/>
        <v>41</v>
      </c>
      <c r="K46" s="66">
        <f>'F6'!J51</f>
        <v>0.80999999999999994</v>
      </c>
      <c r="L46" s="66">
        <f>'F 8'!J50</f>
        <v>1.3217283950617285</v>
      </c>
    </row>
    <row r="47" spans="1:12" x14ac:dyDescent="0.25">
      <c r="A47" s="44">
        <f t="shared" si="0"/>
        <v>42</v>
      </c>
      <c r="B47" s="64">
        <f>'F 1'!H54</f>
        <v>2.16</v>
      </c>
      <c r="C47" s="66">
        <f>'F 3'!H53</f>
        <v>2.12</v>
      </c>
      <c r="J47" s="44">
        <f t="shared" si="1"/>
        <v>42</v>
      </c>
      <c r="K47" s="66">
        <f>'F6'!J52</f>
        <v>1.08</v>
      </c>
      <c r="L47" s="66">
        <f>'F 8'!J51</f>
        <v>1.06</v>
      </c>
    </row>
    <row r="48" spans="1:12" x14ac:dyDescent="0.25">
      <c r="A48" s="44">
        <f t="shared" si="0"/>
        <v>43</v>
      </c>
      <c r="B48" s="64">
        <f>'F 1'!H55</f>
        <v>2.5620833333333328</v>
      </c>
      <c r="C48" s="66">
        <f>'F 3'!H54</f>
        <v>0</v>
      </c>
      <c r="J48" s="44">
        <f t="shared" si="1"/>
        <v>43</v>
      </c>
      <c r="K48" s="66">
        <f>'F6'!J53</f>
        <v>1.2810416666666664</v>
      </c>
      <c r="L48" s="66">
        <f>'F 8'!J52</f>
        <v>0</v>
      </c>
    </row>
    <row r="49" spans="1:12" x14ac:dyDescent="0.25">
      <c r="A49" s="44">
        <f t="shared" si="0"/>
        <v>44</v>
      </c>
      <c r="B49" s="64">
        <f>'F 1'!H56</f>
        <v>0</v>
      </c>
      <c r="C49" s="66">
        <f>'F 3'!H55</f>
        <v>0</v>
      </c>
      <c r="J49" s="44">
        <f t="shared" si="1"/>
        <v>44</v>
      </c>
      <c r="K49" s="66">
        <f>'F6'!J54</f>
        <v>0</v>
      </c>
      <c r="L49" s="66">
        <f>'F 8'!J53</f>
        <v>0</v>
      </c>
    </row>
    <row r="50" spans="1:12" x14ac:dyDescent="0.25">
      <c r="A50" s="44">
        <f t="shared" si="0"/>
        <v>45</v>
      </c>
      <c r="B50" s="64">
        <f>'F 1'!H57</f>
        <v>0</v>
      </c>
      <c r="C50" s="67"/>
      <c r="J50" s="44">
        <f t="shared" si="1"/>
        <v>45</v>
      </c>
      <c r="K50" s="66">
        <f>'F6'!J55</f>
        <v>0</v>
      </c>
      <c r="L50" s="67"/>
    </row>
    <row r="51" spans="1:12" x14ac:dyDescent="0.25">
      <c r="A51" s="44">
        <f t="shared" si="0"/>
        <v>46</v>
      </c>
      <c r="B51" s="64">
        <f>'F 1'!H58</f>
        <v>2.88</v>
      </c>
      <c r="C51" s="68"/>
      <c r="J51" s="44">
        <f t="shared" si="1"/>
        <v>46</v>
      </c>
      <c r="K51" s="66">
        <f>'F6'!J56</f>
        <v>1.44</v>
      </c>
      <c r="L51" s="68"/>
    </row>
    <row r="52" spans="1:12" x14ac:dyDescent="0.25">
      <c r="A52" s="44">
        <f t="shared" si="0"/>
        <v>47</v>
      </c>
      <c r="B52" s="64">
        <f>'F 1'!H59</f>
        <v>1.44</v>
      </c>
      <c r="C52" s="68"/>
      <c r="J52" s="44">
        <f t="shared" si="1"/>
        <v>47</v>
      </c>
      <c r="K52" s="66">
        <f>'F6'!J57</f>
        <v>0.72</v>
      </c>
      <c r="L52" s="68"/>
    </row>
    <row r="53" spans="1:12" x14ac:dyDescent="0.25">
      <c r="A53" s="44">
        <f t="shared" si="0"/>
        <v>48</v>
      </c>
      <c r="B53" s="64">
        <f>'F 1'!H60</f>
        <v>0.89999999999999991</v>
      </c>
      <c r="C53" s="68"/>
      <c r="J53" s="44">
        <f t="shared" si="1"/>
        <v>48</v>
      </c>
      <c r="K53" s="66">
        <f>'F6'!J58</f>
        <v>0.44999999999999996</v>
      </c>
      <c r="L53" s="68"/>
    </row>
    <row r="54" spans="1:12" x14ac:dyDescent="0.25">
      <c r="A54" s="44">
        <f t="shared" si="0"/>
        <v>49</v>
      </c>
      <c r="B54" s="64">
        <f>'F 1'!H61</f>
        <v>2.88</v>
      </c>
      <c r="C54" s="68"/>
      <c r="J54" s="44">
        <f t="shared" si="1"/>
        <v>49</v>
      </c>
      <c r="K54" s="66">
        <f>'F6'!J59</f>
        <v>1.44</v>
      </c>
      <c r="L54" s="68"/>
    </row>
    <row r="55" spans="1:12" x14ac:dyDescent="0.25">
      <c r="A55" s="44">
        <f t="shared" si="0"/>
        <v>50</v>
      </c>
      <c r="B55" s="64">
        <f>'F 1'!H62</f>
        <v>1.71</v>
      </c>
      <c r="C55" s="68"/>
      <c r="J55" s="44">
        <f t="shared" si="1"/>
        <v>50</v>
      </c>
      <c r="K55" s="66">
        <f>'F6'!J60</f>
        <v>0.85499999999999998</v>
      </c>
      <c r="L55" s="68"/>
    </row>
    <row r="56" spans="1:12" x14ac:dyDescent="0.25">
      <c r="A56" s="44">
        <f t="shared" si="0"/>
        <v>51</v>
      </c>
      <c r="B56" s="64">
        <f>'F 1'!H63</f>
        <v>1.4249999999999998</v>
      </c>
      <c r="C56" s="68"/>
      <c r="J56" s="44">
        <f t="shared" si="1"/>
        <v>51</v>
      </c>
      <c r="K56" s="66">
        <f>'F6'!J61</f>
        <v>0.71249999999999991</v>
      </c>
      <c r="L56" s="68"/>
    </row>
    <row r="57" spans="1:12" x14ac:dyDescent="0.25">
      <c r="A57" s="44">
        <f t="shared" si="0"/>
        <v>52</v>
      </c>
      <c r="B57" s="64">
        <f>'F 1'!H64</f>
        <v>1.71</v>
      </c>
      <c r="C57" s="68"/>
      <c r="J57" s="44">
        <f t="shared" si="1"/>
        <v>52</v>
      </c>
      <c r="K57" s="66">
        <f>'F6'!J62</f>
        <v>0.85499999999999998</v>
      </c>
      <c r="L57" s="68"/>
    </row>
    <row r="58" spans="1:12" x14ac:dyDescent="0.25">
      <c r="A58" s="44">
        <f t="shared" si="0"/>
        <v>53</v>
      </c>
      <c r="B58" s="64">
        <f>'F 1'!H65</f>
        <v>2.2799999999999998</v>
      </c>
      <c r="C58" s="68"/>
      <c r="J58" s="44">
        <f t="shared" si="1"/>
        <v>53</v>
      </c>
      <c r="K58" s="66">
        <f>'F6'!J63</f>
        <v>1.1399999999999999</v>
      </c>
      <c r="L58" s="68"/>
    </row>
    <row r="59" spans="1:12" x14ac:dyDescent="0.25">
      <c r="A59" s="44">
        <f t="shared" si="0"/>
        <v>54</v>
      </c>
      <c r="B59" s="64">
        <f>'F 1'!H66</f>
        <v>1.1399999999999997</v>
      </c>
      <c r="C59" s="68"/>
      <c r="J59" s="44">
        <f t="shared" si="1"/>
        <v>54</v>
      </c>
      <c r="K59" s="66">
        <f>'F6'!J64</f>
        <v>0.56999999999999984</v>
      </c>
      <c r="L59" s="68"/>
    </row>
    <row r="60" spans="1:12" x14ac:dyDescent="0.25">
      <c r="A60" s="44">
        <f t="shared" si="0"/>
        <v>55</v>
      </c>
      <c r="B60" s="64">
        <f>'F 1'!H67</f>
        <v>2.2799999999999998</v>
      </c>
      <c r="C60" s="68"/>
      <c r="J60" s="44">
        <f t="shared" si="1"/>
        <v>55</v>
      </c>
      <c r="K60" s="66">
        <f>'F6'!J65</f>
        <v>1.1399999999999999</v>
      </c>
      <c r="L60" s="68"/>
    </row>
    <row r="61" spans="1:12" x14ac:dyDescent="0.25">
      <c r="A61" s="44">
        <f t="shared" si="0"/>
        <v>56</v>
      </c>
      <c r="B61" s="64">
        <f>'F 1'!H68</f>
        <v>1.1399999999999999</v>
      </c>
      <c r="C61" s="68"/>
      <c r="J61" s="44">
        <f t="shared" si="1"/>
        <v>56</v>
      </c>
      <c r="K61" s="66">
        <f>'F6'!J66</f>
        <v>0.56999999999999995</v>
      </c>
      <c r="L61" s="68"/>
    </row>
    <row r="62" spans="1:12" x14ac:dyDescent="0.25">
      <c r="A62" s="44">
        <f t="shared" si="0"/>
        <v>57</v>
      </c>
      <c r="B62" s="64">
        <f>'F 1'!H69</f>
        <v>1.1399999999999999</v>
      </c>
      <c r="C62" s="68"/>
      <c r="J62" s="44">
        <f t="shared" si="1"/>
        <v>57</v>
      </c>
      <c r="K62" s="66">
        <f>'F6'!J67</f>
        <v>0.56999999999999995</v>
      </c>
      <c r="L62" s="68"/>
    </row>
    <row r="63" spans="1:12" x14ac:dyDescent="0.25">
      <c r="A63" s="44">
        <f t="shared" si="0"/>
        <v>58</v>
      </c>
      <c r="B63" s="64">
        <f>'F 1'!H70</f>
        <v>0</v>
      </c>
      <c r="C63" s="68"/>
      <c r="J63" s="44">
        <f t="shared" si="1"/>
        <v>58</v>
      </c>
      <c r="K63" s="66">
        <f>'F6'!J68</f>
        <v>0</v>
      </c>
      <c r="L63" s="68"/>
    </row>
    <row r="64" spans="1:12" x14ac:dyDescent="0.25">
      <c r="A64" s="44">
        <f t="shared" si="0"/>
        <v>59</v>
      </c>
      <c r="B64" s="64">
        <f>'F 1'!H71</f>
        <v>1.1399999999999999</v>
      </c>
      <c r="C64" s="68"/>
      <c r="J64" s="44">
        <f t="shared" si="1"/>
        <v>59</v>
      </c>
      <c r="K64" s="66">
        <f>'F6'!J69</f>
        <v>0.56999999999999995</v>
      </c>
      <c r="L64" s="68"/>
    </row>
    <row r="65" spans="1:12" x14ac:dyDescent="0.25">
      <c r="A65" s="44">
        <f t="shared" si="0"/>
        <v>60</v>
      </c>
      <c r="B65" s="64">
        <f>'F 1'!H72</f>
        <v>0.56999999999999995</v>
      </c>
      <c r="C65" s="68"/>
      <c r="J65" s="44">
        <f t="shared" si="1"/>
        <v>60</v>
      </c>
      <c r="K65" s="66">
        <f>'F6'!J70</f>
        <v>0.28499999999999998</v>
      </c>
      <c r="L65" s="68"/>
    </row>
    <row r="66" spans="1:12" x14ac:dyDescent="0.25">
      <c r="A66" s="44">
        <f t="shared" si="0"/>
        <v>61</v>
      </c>
      <c r="B66" s="64">
        <f>'F 1'!H73</f>
        <v>1.1399999999999999</v>
      </c>
      <c r="C66" s="68"/>
      <c r="J66" s="44">
        <f t="shared" si="1"/>
        <v>61</v>
      </c>
      <c r="K66" s="66">
        <f>'F6'!J71</f>
        <v>0.56999999999999995</v>
      </c>
      <c r="L66" s="68"/>
    </row>
    <row r="67" spans="1:12" x14ac:dyDescent="0.25">
      <c r="A67" s="44">
        <f t="shared" si="0"/>
        <v>62</v>
      </c>
      <c r="B67" s="64">
        <f>'F 1'!H74</f>
        <v>2.2799999999999998</v>
      </c>
      <c r="C67" s="68"/>
      <c r="J67" s="44">
        <f t="shared" si="1"/>
        <v>62</v>
      </c>
      <c r="K67" s="66">
        <f>'F6'!J72</f>
        <v>1.1399999999999999</v>
      </c>
      <c r="L67" s="68"/>
    </row>
    <row r="68" spans="1:12" x14ac:dyDescent="0.25">
      <c r="A68" s="44">
        <f t="shared" si="0"/>
        <v>63</v>
      </c>
      <c r="B68" s="64">
        <f>'F 1'!H75</f>
        <v>1.4249999999999998</v>
      </c>
      <c r="C68" s="68"/>
      <c r="J68" s="44">
        <f t="shared" si="1"/>
        <v>63</v>
      </c>
      <c r="K68" s="66">
        <f>'F6'!J73</f>
        <v>0.71249999999999991</v>
      </c>
      <c r="L68" s="68"/>
    </row>
    <row r="69" spans="1:12" x14ac:dyDescent="0.25">
      <c r="A69" s="44">
        <f>A68+1</f>
        <v>64</v>
      </c>
      <c r="B69" s="64">
        <f>'F 1'!H76</f>
        <v>2.2799999999999998</v>
      </c>
      <c r="C69" s="68"/>
      <c r="J69" s="44">
        <f t="shared" si="1"/>
        <v>64</v>
      </c>
      <c r="K69" s="66">
        <f>'F6'!J74</f>
        <v>1.1399999999999999</v>
      </c>
      <c r="L69" s="68"/>
    </row>
    <row r="70" spans="1:12" x14ac:dyDescent="0.25">
      <c r="A70" s="44">
        <f t="shared" si="0"/>
        <v>65</v>
      </c>
      <c r="B70" s="64">
        <f>'F 1'!H77</f>
        <v>1.4249999999999998</v>
      </c>
      <c r="C70" s="68"/>
      <c r="J70" s="44">
        <f t="shared" si="1"/>
        <v>65</v>
      </c>
      <c r="K70" s="66">
        <f>'F6'!J75</f>
        <v>0.71249999999999991</v>
      </c>
      <c r="L70" s="68"/>
    </row>
    <row r="71" spans="1:12" x14ac:dyDescent="0.25">
      <c r="A71" s="44">
        <f t="shared" si="0"/>
        <v>66</v>
      </c>
      <c r="B71" s="64">
        <f>'F 1'!H78</f>
        <v>1.1399999999999999</v>
      </c>
      <c r="C71" s="68"/>
      <c r="J71" s="44">
        <f t="shared" si="1"/>
        <v>66</v>
      </c>
      <c r="K71" s="66">
        <f>'F6'!J76</f>
        <v>0.56999999999999995</v>
      </c>
      <c r="L71" s="68"/>
    </row>
    <row r="72" spans="1:12" x14ac:dyDescent="0.25">
      <c r="A72" s="44">
        <f t="shared" ref="A72:A92" si="2">A71+1</f>
        <v>67</v>
      </c>
      <c r="B72" s="64">
        <f>'F 1'!H79</f>
        <v>2.2799999999999998</v>
      </c>
      <c r="C72" s="68"/>
      <c r="J72" s="44">
        <f t="shared" ref="J72:J105" si="3">J71+1</f>
        <v>67</v>
      </c>
      <c r="K72" s="66">
        <f>'F6'!J77</f>
        <v>1.1399999999999999</v>
      </c>
      <c r="L72" s="68"/>
    </row>
    <row r="73" spans="1:12" x14ac:dyDescent="0.25">
      <c r="A73" s="44">
        <f t="shared" si="2"/>
        <v>68</v>
      </c>
      <c r="B73" s="64">
        <f>'F 1'!H80</f>
        <v>1.9949999999999999</v>
      </c>
      <c r="C73" s="68"/>
      <c r="J73" s="44">
        <f t="shared" si="3"/>
        <v>68</v>
      </c>
      <c r="K73" s="66">
        <f>'F6'!J78</f>
        <v>0.99749999999999994</v>
      </c>
      <c r="L73" s="68"/>
    </row>
    <row r="74" spans="1:12" x14ac:dyDescent="0.25">
      <c r="A74" s="44">
        <f t="shared" si="2"/>
        <v>69</v>
      </c>
      <c r="B74" s="64">
        <f>'F 1'!H81</f>
        <v>2.8499999999999996</v>
      </c>
      <c r="C74" s="68"/>
      <c r="J74" s="44">
        <f t="shared" si="3"/>
        <v>69</v>
      </c>
      <c r="K74" s="66">
        <f>'F6'!J79</f>
        <v>1.4249999999999998</v>
      </c>
      <c r="L74" s="68"/>
    </row>
    <row r="75" spans="1:12" x14ac:dyDescent="0.25">
      <c r="A75" s="44">
        <f t="shared" si="2"/>
        <v>70</v>
      </c>
      <c r="B75" s="64">
        <f>'F 1'!H82</f>
        <v>4.5599999999999996</v>
      </c>
      <c r="C75" s="68"/>
      <c r="J75" s="44">
        <f t="shared" si="3"/>
        <v>70</v>
      </c>
      <c r="K75" s="66">
        <f>'F6'!J80</f>
        <v>2.2799999999999998</v>
      </c>
      <c r="L75" s="68"/>
    </row>
    <row r="76" spans="1:12" x14ac:dyDescent="0.25">
      <c r="A76" s="44">
        <f t="shared" si="2"/>
        <v>71</v>
      </c>
      <c r="B76" s="64">
        <f>'F 1'!H83</f>
        <v>0.56999999999999995</v>
      </c>
      <c r="C76" s="68"/>
      <c r="J76" s="44">
        <f t="shared" si="3"/>
        <v>71</v>
      </c>
      <c r="K76" s="66">
        <f>'F6'!J81</f>
        <v>0.28499999999999998</v>
      </c>
      <c r="L76" s="68"/>
    </row>
    <row r="77" spans="1:12" x14ac:dyDescent="0.25">
      <c r="A77" s="44">
        <f t="shared" si="2"/>
        <v>72</v>
      </c>
      <c r="B77" s="64">
        <f>'F 1'!H84</f>
        <v>0.56999999999999995</v>
      </c>
      <c r="C77" s="68"/>
      <c r="J77" s="44">
        <f t="shared" si="3"/>
        <v>72</v>
      </c>
      <c r="K77" s="66">
        <f>'F6'!J82</f>
        <v>0.28499999999999998</v>
      </c>
      <c r="L77" s="68"/>
    </row>
    <row r="78" spans="1:12" x14ac:dyDescent="0.25">
      <c r="A78" s="44">
        <f t="shared" si="2"/>
        <v>73</v>
      </c>
      <c r="B78" s="64">
        <f>'F 1'!H85</f>
        <v>1.1399999999999999</v>
      </c>
      <c r="C78" s="68"/>
      <c r="J78" s="44">
        <f t="shared" si="3"/>
        <v>73</v>
      </c>
      <c r="K78" s="66">
        <f>'F6'!J83</f>
        <v>0.56999999999999995</v>
      </c>
      <c r="L78" s="68"/>
    </row>
    <row r="79" spans="1:12" x14ac:dyDescent="0.25">
      <c r="A79" s="44">
        <f t="shared" si="2"/>
        <v>74</v>
      </c>
      <c r="B79" s="64">
        <f>'F 1'!H86</f>
        <v>2.2799999999999998</v>
      </c>
      <c r="C79" s="68"/>
      <c r="J79" s="44">
        <f t="shared" si="3"/>
        <v>74</v>
      </c>
      <c r="K79" s="66">
        <f>'F6'!J84</f>
        <v>1.1399999999999999</v>
      </c>
      <c r="L79" s="68"/>
    </row>
    <row r="80" spans="1:12" x14ac:dyDescent="0.25">
      <c r="A80" s="44">
        <f t="shared" si="2"/>
        <v>75</v>
      </c>
      <c r="B80" s="64">
        <f>'F 1'!H87</f>
        <v>0.56999999999999995</v>
      </c>
      <c r="C80" s="68"/>
      <c r="J80" s="44">
        <f t="shared" si="3"/>
        <v>75</v>
      </c>
      <c r="K80" s="66">
        <f>'F6'!J85</f>
        <v>0.28499999999999998</v>
      </c>
      <c r="L80" s="68"/>
    </row>
    <row r="81" spans="1:12" x14ac:dyDescent="0.25">
      <c r="A81" s="44">
        <f t="shared" si="2"/>
        <v>76</v>
      </c>
      <c r="B81" s="64">
        <f>'F 1'!H88</f>
        <v>0.56999999999999995</v>
      </c>
      <c r="C81" s="68"/>
      <c r="J81" s="44">
        <f t="shared" si="3"/>
        <v>76</v>
      </c>
      <c r="K81" s="66">
        <f>'F6'!J86</f>
        <v>0.28499999999999998</v>
      </c>
      <c r="L81" s="68"/>
    </row>
    <row r="82" spans="1:12" x14ac:dyDescent="0.25">
      <c r="A82" s="44">
        <f t="shared" si="2"/>
        <v>77</v>
      </c>
      <c r="B82" s="64">
        <f>'F 1'!H89</f>
        <v>1.34</v>
      </c>
      <c r="C82" s="68"/>
      <c r="J82" s="44">
        <f t="shared" si="3"/>
        <v>77</v>
      </c>
      <c r="K82" s="66">
        <f>'F6'!J87</f>
        <v>0.67</v>
      </c>
      <c r="L82" s="68"/>
    </row>
    <row r="83" spans="1:12" x14ac:dyDescent="0.25">
      <c r="A83" s="44">
        <f t="shared" si="2"/>
        <v>78</v>
      </c>
      <c r="B83" s="64">
        <f>'F 1'!H90</f>
        <v>1.6176431456752831</v>
      </c>
      <c r="C83" s="68"/>
      <c r="J83" s="44">
        <f t="shared" si="3"/>
        <v>78</v>
      </c>
      <c r="K83" s="66">
        <f>'F6'!J88</f>
        <v>0.80882157283764156</v>
      </c>
      <c r="L83" s="68"/>
    </row>
    <row r="84" spans="1:12" x14ac:dyDescent="0.25">
      <c r="A84" s="44">
        <f t="shared" si="2"/>
        <v>79</v>
      </c>
      <c r="B84" s="64">
        <f>'F 1'!H91</f>
        <v>8.08</v>
      </c>
      <c r="C84" s="68"/>
      <c r="J84" s="44">
        <f t="shared" si="3"/>
        <v>79</v>
      </c>
      <c r="K84" s="66">
        <f>'F6'!J89</f>
        <v>4.04</v>
      </c>
      <c r="L84" s="68"/>
    </row>
    <row r="85" spans="1:12" x14ac:dyDescent="0.25">
      <c r="A85" s="44">
        <f t="shared" si="2"/>
        <v>80</v>
      </c>
      <c r="B85" s="64">
        <f>'F 1'!H92</f>
        <v>2.68</v>
      </c>
      <c r="C85" s="68"/>
      <c r="J85" s="44">
        <f t="shared" si="3"/>
        <v>80</v>
      </c>
      <c r="K85" s="66">
        <f>'F6'!J90</f>
        <v>1.34</v>
      </c>
      <c r="L85" s="68"/>
    </row>
    <row r="86" spans="1:12" x14ac:dyDescent="0.25">
      <c r="A86" s="44">
        <f t="shared" si="2"/>
        <v>81</v>
      </c>
      <c r="B86" s="64">
        <f>'F 1'!H93</f>
        <v>3.3666666666666667</v>
      </c>
      <c r="C86" s="68"/>
      <c r="J86" s="44">
        <f t="shared" si="3"/>
        <v>81</v>
      </c>
      <c r="K86" s="66">
        <f>'F6'!J91</f>
        <v>1.6833333333333333</v>
      </c>
      <c r="L86" s="68"/>
    </row>
    <row r="87" spans="1:12" x14ac:dyDescent="0.25">
      <c r="A87" s="44">
        <f t="shared" si="2"/>
        <v>82</v>
      </c>
      <c r="B87" s="64">
        <f>'F 1'!H94</f>
        <v>2.02</v>
      </c>
      <c r="C87" s="68"/>
      <c r="J87" s="44">
        <f t="shared" si="3"/>
        <v>82</v>
      </c>
      <c r="K87" s="66">
        <f>'F6'!J92</f>
        <v>1.01</v>
      </c>
      <c r="L87" s="68"/>
    </row>
    <row r="88" spans="1:12" x14ac:dyDescent="0.25">
      <c r="A88" s="44">
        <f t="shared" si="2"/>
        <v>83</v>
      </c>
      <c r="B88" s="64">
        <f>'F 1'!H95</f>
        <v>2.0100000000000002</v>
      </c>
      <c r="C88" s="68"/>
      <c r="J88" s="44">
        <f t="shared" si="3"/>
        <v>83</v>
      </c>
      <c r="K88" s="66">
        <f>'F6'!J93</f>
        <v>1.0050000000000001</v>
      </c>
      <c r="L88" s="68"/>
    </row>
    <row r="89" spans="1:12" x14ac:dyDescent="0.25">
      <c r="A89" s="44">
        <f t="shared" si="2"/>
        <v>84</v>
      </c>
      <c r="B89" s="64">
        <f>'F 1'!H96</f>
        <v>0.68</v>
      </c>
      <c r="C89" s="68"/>
      <c r="J89" s="44">
        <f t="shared" si="3"/>
        <v>84</v>
      </c>
      <c r="K89" s="66">
        <f>'F6'!J94</f>
        <v>0.34</v>
      </c>
      <c r="L89" s="68"/>
    </row>
    <row r="90" spans="1:12" x14ac:dyDescent="0.25">
      <c r="A90" s="44">
        <f t="shared" si="2"/>
        <v>85</v>
      </c>
      <c r="B90" s="64">
        <f>'F 1'!H97</f>
        <v>0.68</v>
      </c>
      <c r="C90" s="68"/>
      <c r="J90" s="44">
        <f t="shared" si="3"/>
        <v>85</v>
      </c>
      <c r="K90" s="66">
        <f>'F6'!J95</f>
        <v>0.34</v>
      </c>
      <c r="L90" s="68"/>
    </row>
    <row r="91" spans="1:12" x14ac:dyDescent="0.25">
      <c r="A91" s="44">
        <f t="shared" si="2"/>
        <v>86</v>
      </c>
      <c r="B91" s="64">
        <f>'F 1'!H98</f>
        <v>0</v>
      </c>
      <c r="C91" s="68"/>
      <c r="J91" s="44">
        <f t="shared" si="3"/>
        <v>86</v>
      </c>
      <c r="K91" s="66">
        <f>'F6'!J96</f>
        <v>0</v>
      </c>
      <c r="L91" s="68"/>
    </row>
    <row r="92" spans="1:12" x14ac:dyDescent="0.25">
      <c r="A92" s="44">
        <f t="shared" si="2"/>
        <v>87</v>
      </c>
      <c r="B92" s="64">
        <f>'F 1'!H99</f>
        <v>2.02</v>
      </c>
      <c r="C92" s="68"/>
      <c r="J92" s="44">
        <f t="shared" si="3"/>
        <v>87</v>
      </c>
      <c r="K92" s="66">
        <f>'F6'!J97</f>
        <v>1.01</v>
      </c>
      <c r="L92" s="68"/>
    </row>
    <row r="93" spans="1:12" x14ac:dyDescent="0.25">
      <c r="A93" s="44">
        <f>A92+1</f>
        <v>88</v>
      </c>
      <c r="B93" s="64">
        <f>'F 1'!H100</f>
        <v>0.68</v>
      </c>
      <c r="C93" s="68"/>
      <c r="J93" s="44">
        <f t="shared" si="3"/>
        <v>88</v>
      </c>
      <c r="K93" s="66">
        <f>'F6'!J98</f>
        <v>0.34</v>
      </c>
      <c r="L93" s="68"/>
    </row>
    <row r="94" spans="1:12" x14ac:dyDescent="0.25">
      <c r="A94" s="44">
        <f t="shared" ref="A94:A102" si="4">A93+1</f>
        <v>89</v>
      </c>
      <c r="B94" s="64">
        <f>'F 1'!H101</f>
        <v>0.67</v>
      </c>
      <c r="C94" s="68"/>
      <c r="J94" s="44">
        <f t="shared" si="3"/>
        <v>89</v>
      </c>
      <c r="K94" s="66">
        <f>'F6'!J99</f>
        <v>0.33500000000000002</v>
      </c>
      <c r="L94" s="68"/>
    </row>
    <row r="95" spans="1:12" x14ac:dyDescent="0.25">
      <c r="A95" s="44">
        <f t="shared" si="4"/>
        <v>90</v>
      </c>
      <c r="B95" s="64">
        <f>'F 1'!H102</f>
        <v>4.0200000000000005</v>
      </c>
      <c r="C95" s="68"/>
      <c r="J95" s="44">
        <f t="shared" si="3"/>
        <v>90</v>
      </c>
      <c r="K95" s="66">
        <f>'F6'!J100</f>
        <v>2.0100000000000002</v>
      </c>
      <c r="L95" s="68"/>
    </row>
    <row r="96" spans="1:12" x14ac:dyDescent="0.25">
      <c r="A96" s="44">
        <f t="shared" si="4"/>
        <v>91</v>
      </c>
      <c r="B96" s="64">
        <f>'F 1'!H103</f>
        <v>1.34</v>
      </c>
      <c r="C96" s="68"/>
      <c r="J96" s="44">
        <f t="shared" si="3"/>
        <v>91</v>
      </c>
      <c r="K96" s="66">
        <f>'F6'!J101</f>
        <v>0.67</v>
      </c>
      <c r="L96" s="68"/>
    </row>
    <row r="97" spans="1:12" x14ac:dyDescent="0.25">
      <c r="A97" s="44">
        <f t="shared" si="4"/>
        <v>92</v>
      </c>
      <c r="B97" s="64">
        <f>'F 1'!H104</f>
        <v>0.67</v>
      </c>
      <c r="C97" s="68"/>
      <c r="J97" s="44">
        <f t="shared" si="3"/>
        <v>92</v>
      </c>
      <c r="K97" s="66">
        <f>'F6'!J102</f>
        <v>0.33500000000000002</v>
      </c>
      <c r="L97" s="68"/>
    </row>
    <row r="98" spans="1:12" x14ac:dyDescent="0.25">
      <c r="A98" s="44">
        <f t="shared" si="4"/>
        <v>93</v>
      </c>
      <c r="B98" s="64">
        <f>'F 1'!H105</f>
        <v>5.625</v>
      </c>
      <c r="C98" s="68"/>
      <c r="J98" s="44">
        <f t="shared" si="3"/>
        <v>93</v>
      </c>
      <c r="K98" s="66">
        <f>'F6'!J103</f>
        <v>2.8125</v>
      </c>
      <c r="L98" s="68"/>
    </row>
    <row r="99" spans="1:12" x14ac:dyDescent="0.25">
      <c r="A99" s="44">
        <f t="shared" si="4"/>
        <v>94</v>
      </c>
      <c r="B99" s="64">
        <f>'F 1'!H106</f>
        <v>0</v>
      </c>
      <c r="C99" s="68"/>
      <c r="J99" s="44">
        <f t="shared" si="3"/>
        <v>94</v>
      </c>
      <c r="K99" s="66">
        <f>'F6'!J104</f>
        <v>0</v>
      </c>
      <c r="L99" s="68"/>
    </row>
    <row r="100" spans="1:12" x14ac:dyDescent="0.25">
      <c r="A100" s="44">
        <f t="shared" si="4"/>
        <v>95</v>
      </c>
      <c r="B100" s="64">
        <f>'F 1'!H107</f>
        <v>7.5</v>
      </c>
      <c r="C100" s="68"/>
      <c r="J100" s="44">
        <f t="shared" si="3"/>
        <v>95</v>
      </c>
      <c r="K100" s="66">
        <f>'F6'!J105</f>
        <v>3.75</v>
      </c>
      <c r="L100" s="68"/>
    </row>
    <row r="101" spans="1:12" x14ac:dyDescent="0.25">
      <c r="A101" s="44">
        <f t="shared" si="4"/>
        <v>96</v>
      </c>
      <c r="B101" s="64">
        <f>'F 1'!H108</f>
        <v>3.76</v>
      </c>
      <c r="C101" s="68"/>
      <c r="J101" s="44">
        <f t="shared" si="3"/>
        <v>96</v>
      </c>
      <c r="K101" s="66">
        <f>'F6'!J106</f>
        <v>1.88</v>
      </c>
      <c r="L101" s="68"/>
    </row>
    <row r="102" spans="1:12" x14ac:dyDescent="0.25">
      <c r="A102" s="44">
        <f t="shared" si="4"/>
        <v>97</v>
      </c>
      <c r="B102" s="64">
        <f>'F 1'!H109</f>
        <v>5.64</v>
      </c>
      <c r="C102" s="68"/>
      <c r="J102" s="44">
        <f t="shared" si="3"/>
        <v>97</v>
      </c>
      <c r="K102" s="66">
        <f>'F6'!J107</f>
        <v>2.82</v>
      </c>
      <c r="L102" s="68"/>
    </row>
    <row r="103" spans="1:12" x14ac:dyDescent="0.25">
      <c r="A103" s="44">
        <f>A102+1</f>
        <v>98</v>
      </c>
      <c r="B103" s="64">
        <f>'F 1'!H110</f>
        <v>3.76</v>
      </c>
      <c r="C103" s="68"/>
      <c r="J103" s="44">
        <f t="shared" si="3"/>
        <v>98</v>
      </c>
      <c r="K103" s="66">
        <f>'F6'!J108</f>
        <v>1.88</v>
      </c>
      <c r="L103" s="68"/>
    </row>
    <row r="104" spans="1:12" x14ac:dyDescent="0.25">
      <c r="A104" s="44">
        <f>A103+1</f>
        <v>99</v>
      </c>
      <c r="B104" s="64">
        <f>'F 1'!H111</f>
        <v>1.88</v>
      </c>
      <c r="C104" s="68"/>
      <c r="J104" s="44">
        <f t="shared" si="3"/>
        <v>99</v>
      </c>
      <c r="K104" s="66">
        <f>'F6'!J109</f>
        <v>0.94</v>
      </c>
      <c r="L104" s="68"/>
    </row>
    <row r="105" spans="1:12" x14ac:dyDescent="0.25">
      <c r="A105" s="44">
        <f>A104+1</f>
        <v>100</v>
      </c>
      <c r="B105" s="64">
        <f>'F 1'!H112</f>
        <v>1.88</v>
      </c>
      <c r="C105" s="69"/>
      <c r="J105" s="44">
        <f t="shared" si="3"/>
        <v>100</v>
      </c>
      <c r="K105" s="66">
        <f>'F6'!J110</f>
        <v>0.94</v>
      </c>
      <c r="L105" s="69"/>
    </row>
    <row r="106" spans="1:12" x14ac:dyDescent="0.25">
      <c r="A106" s="47" t="s">
        <v>222</v>
      </c>
      <c r="B106" s="70">
        <f>SUM(B6:B105)</f>
        <v>213.86239353944737</v>
      </c>
      <c r="C106" s="71">
        <f>SUM(C6:C105)</f>
        <v>143.0419207321099</v>
      </c>
      <c r="J106" s="47" t="s">
        <v>222</v>
      </c>
      <c r="K106" s="71">
        <f>SUM(K6:K105)</f>
        <v>106.93119676972368</v>
      </c>
      <c r="L106" s="71">
        <f>SUM(L6:L105)</f>
        <v>71.52096036605495</v>
      </c>
    </row>
  </sheetData>
  <mergeCells count="15">
    <mergeCell ref="E26:G26"/>
    <mergeCell ref="E27:G27"/>
    <mergeCell ref="E21:H21"/>
    <mergeCell ref="E35:G35"/>
    <mergeCell ref="H36:H37"/>
    <mergeCell ref="E31:H31"/>
    <mergeCell ref="E36:G37"/>
    <mergeCell ref="M5:N5"/>
    <mergeCell ref="K4:N4"/>
    <mergeCell ref="A2:E2"/>
    <mergeCell ref="A4:A5"/>
    <mergeCell ref="B4:E4"/>
    <mergeCell ref="D5:E5"/>
    <mergeCell ref="J4:J5"/>
    <mergeCell ref="J2:N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20"/>
  <sheetViews>
    <sheetView zoomScale="120" zoomScaleNormal="120" workbookViewId="0">
      <selection activeCell="E63" sqref="E63"/>
    </sheetView>
  </sheetViews>
  <sheetFormatPr defaultRowHeight="15" x14ac:dyDescent="0.25"/>
  <cols>
    <col min="1" max="1" width="7.140625" style="4" customWidth="1"/>
    <col min="2" max="2" width="6.85546875" style="4" customWidth="1"/>
    <col min="3" max="3" width="5.140625" customWidth="1"/>
    <col min="4" max="4" width="53" customWidth="1"/>
    <col min="5" max="5" width="7.42578125" customWidth="1"/>
    <col min="6" max="6" width="5.85546875" customWidth="1"/>
    <col min="7" max="7" width="29.140625" style="4" customWidth="1"/>
    <col min="8" max="8" width="11.5703125" style="4" customWidth="1"/>
    <col min="9" max="9" width="6.140625" customWidth="1"/>
    <col min="10" max="10" width="40.85546875" customWidth="1"/>
    <col min="12" max="12" width="12" customWidth="1"/>
    <col min="13" max="15" width="9.140625" style="14"/>
    <col min="16" max="16" width="10" style="14" bestFit="1" customWidth="1"/>
    <col min="17" max="17" width="9.140625" style="14"/>
  </cols>
  <sheetData>
    <row r="1" spans="1:17" ht="26.25" x14ac:dyDescent="0.4">
      <c r="A1" s="546" t="s">
        <v>556</v>
      </c>
      <c r="B1" s="546"/>
      <c r="C1" s="546"/>
      <c r="D1" s="546"/>
      <c r="E1" s="546"/>
      <c r="H1" s="82"/>
      <c r="I1" s="77"/>
      <c r="J1" s="77"/>
      <c r="K1" s="77"/>
      <c r="L1" s="77"/>
    </row>
    <row r="2" spans="1:17" ht="27" thickBot="1" x14ac:dyDescent="0.45">
      <c r="A2" s="546" t="s">
        <v>555</v>
      </c>
      <c r="B2" s="546"/>
      <c r="C2" s="546"/>
      <c r="D2" s="546"/>
      <c r="E2" s="546"/>
      <c r="F2" s="77"/>
      <c r="G2" s="81"/>
      <c r="H2" s="81"/>
      <c r="I2" s="77"/>
      <c r="J2" s="77"/>
      <c r="K2" s="77"/>
      <c r="L2" s="77"/>
      <c r="N2" s="62"/>
    </row>
    <row r="3" spans="1:17" ht="57" thickBot="1" x14ac:dyDescent="0.35">
      <c r="A3" s="135" t="s">
        <v>523</v>
      </c>
      <c r="B3" s="136" t="s">
        <v>464</v>
      </c>
      <c r="C3" s="547" t="s">
        <v>557</v>
      </c>
      <c r="D3" s="547"/>
      <c r="E3" s="137" t="s">
        <v>558</v>
      </c>
      <c r="F3" s="77"/>
      <c r="G3" s="139" t="s">
        <v>578</v>
      </c>
      <c r="H3" s="83"/>
      <c r="I3" s="77"/>
      <c r="J3" s="77"/>
      <c r="K3" s="79"/>
      <c r="L3" s="77"/>
      <c r="N3" s="62"/>
    </row>
    <row r="4" spans="1:17" s="25" customFormat="1" ht="30" customHeight="1" thickBot="1" x14ac:dyDescent="0.35">
      <c r="A4" s="122">
        <v>1</v>
      </c>
      <c r="B4" s="124" t="s">
        <v>7</v>
      </c>
      <c r="C4" s="528" t="s">
        <v>573</v>
      </c>
      <c r="D4" s="529"/>
      <c r="E4" s="142">
        <v>2</v>
      </c>
      <c r="F4" s="77"/>
      <c r="G4" s="152" t="s">
        <v>954</v>
      </c>
      <c r="H4" s="83"/>
      <c r="I4" s="77"/>
      <c r="J4" s="77"/>
      <c r="K4" s="79"/>
      <c r="L4" s="77"/>
      <c r="M4" s="14"/>
      <c r="N4" s="62"/>
      <c r="O4" s="14"/>
      <c r="P4" s="14"/>
      <c r="Q4" s="14"/>
    </row>
    <row r="5" spans="1:17" s="25" customFormat="1" ht="27" customHeight="1" x14ac:dyDescent="0.3">
      <c r="A5" s="122"/>
      <c r="B5" s="124"/>
      <c r="C5" s="193">
        <v>1</v>
      </c>
      <c r="D5" s="140" t="s">
        <v>574</v>
      </c>
      <c r="E5" s="141"/>
      <c r="F5" s="77"/>
      <c r="G5" s="153"/>
      <c r="H5" s="83"/>
      <c r="I5" s="77"/>
      <c r="J5" s="77"/>
      <c r="K5" s="79"/>
      <c r="L5" s="77"/>
      <c r="M5" s="14"/>
      <c r="N5" s="62"/>
      <c r="O5" s="14"/>
      <c r="P5" s="14"/>
      <c r="Q5" s="14"/>
    </row>
    <row r="6" spans="1:17" s="25" customFormat="1" ht="30" customHeight="1" x14ac:dyDescent="0.3">
      <c r="A6" s="122"/>
      <c r="B6" s="124"/>
      <c r="C6" s="193">
        <v>2</v>
      </c>
      <c r="D6" s="140" t="s">
        <v>575</v>
      </c>
      <c r="E6" s="141"/>
      <c r="F6" s="77"/>
      <c r="G6" s="153"/>
      <c r="H6" s="83"/>
      <c r="I6" s="77"/>
      <c r="J6" s="77"/>
      <c r="K6" s="79"/>
      <c r="L6" s="77"/>
      <c r="M6" s="14"/>
      <c r="N6" s="62"/>
      <c r="O6" s="14"/>
      <c r="P6" s="14"/>
      <c r="Q6" s="14"/>
    </row>
    <row r="7" spans="1:17" s="25" customFormat="1" ht="15.75" customHeight="1" x14ac:dyDescent="0.3">
      <c r="A7" s="122"/>
      <c r="B7" s="124"/>
      <c r="C7" s="193">
        <v>3</v>
      </c>
      <c r="D7" s="140" t="s">
        <v>576</v>
      </c>
      <c r="E7" s="141"/>
      <c r="F7" s="77"/>
      <c r="G7" s="153"/>
      <c r="H7" s="83"/>
      <c r="I7" s="77"/>
      <c r="J7" s="77"/>
      <c r="K7" s="79"/>
      <c r="L7" s="77"/>
      <c r="M7" s="14"/>
      <c r="N7" s="62"/>
      <c r="O7" s="14"/>
      <c r="P7" s="14"/>
      <c r="Q7" s="14"/>
    </row>
    <row r="8" spans="1:17" s="25" customFormat="1" ht="30" customHeight="1" x14ac:dyDescent="0.3">
      <c r="A8" s="122"/>
      <c r="B8" s="124"/>
      <c r="C8" s="193">
        <v>4</v>
      </c>
      <c r="D8" s="140" t="s">
        <v>577</v>
      </c>
      <c r="E8" s="141"/>
      <c r="F8" s="77"/>
      <c r="G8" s="153"/>
      <c r="H8" s="83"/>
      <c r="I8" s="77"/>
      <c r="J8" s="77"/>
      <c r="K8" s="79"/>
      <c r="L8" s="77"/>
      <c r="M8" s="14"/>
      <c r="N8" s="62"/>
      <c r="O8" s="14"/>
      <c r="P8" s="14"/>
      <c r="Q8" s="14"/>
    </row>
    <row r="9" spans="1:17" s="25" customFormat="1" ht="19.5" thickBot="1" x14ac:dyDescent="0.35">
      <c r="A9" s="156"/>
      <c r="B9" s="156"/>
      <c r="C9" s="496" t="s">
        <v>311</v>
      </c>
      <c r="D9" s="497"/>
      <c r="E9" s="144">
        <f>IF(E4&lt;0, "Salah Isi", IF(E4&lt;1, 1, IF(E4&lt;=4, E4, "Salah Isi")))</f>
        <v>2</v>
      </c>
      <c r="F9" s="77"/>
      <c r="G9" s="153"/>
      <c r="H9" s="83"/>
      <c r="I9" s="77"/>
      <c r="J9" s="77"/>
      <c r="K9" s="79"/>
      <c r="L9" s="77"/>
      <c r="M9" s="14"/>
      <c r="N9" s="62"/>
      <c r="O9" s="14"/>
      <c r="P9" s="14"/>
      <c r="Q9" s="14"/>
    </row>
    <row r="10" spans="1:17" s="25" customFormat="1" ht="19.5" thickBot="1" x14ac:dyDescent="0.35">
      <c r="A10" s="156"/>
      <c r="B10" s="156"/>
      <c r="C10" s="194"/>
      <c r="D10" s="194"/>
      <c r="E10" s="77"/>
      <c r="F10" s="77"/>
      <c r="G10" s="153"/>
      <c r="H10" s="83"/>
      <c r="I10" s="77"/>
      <c r="J10" s="77"/>
      <c r="K10" s="79"/>
      <c r="L10" s="77"/>
      <c r="M10" s="14"/>
      <c r="N10" s="62"/>
      <c r="O10" s="14"/>
      <c r="P10" s="14"/>
      <c r="Q10" s="14"/>
    </row>
    <row r="11" spans="1:17" s="25" customFormat="1" ht="31.5" customHeight="1" thickBot="1" x14ac:dyDescent="0.35">
      <c r="A11" s="122">
        <v>2</v>
      </c>
      <c r="B11" s="126" t="s">
        <v>8</v>
      </c>
      <c r="C11" s="530" t="s">
        <v>9</v>
      </c>
      <c r="D11" s="531"/>
      <c r="E11" s="146">
        <v>1</v>
      </c>
      <c r="F11" s="77"/>
      <c r="G11" s="152" t="s">
        <v>955</v>
      </c>
      <c r="H11" s="83"/>
      <c r="I11" s="77"/>
      <c r="J11" s="77"/>
      <c r="K11" s="79"/>
      <c r="L11" s="77"/>
      <c r="M11" s="14"/>
      <c r="N11" s="62"/>
      <c r="O11" s="14"/>
      <c r="P11" s="14"/>
      <c r="Q11" s="14"/>
    </row>
    <row r="12" spans="1:17" s="25" customFormat="1" ht="30" customHeight="1" x14ac:dyDescent="0.3">
      <c r="A12" s="122"/>
      <c r="B12" s="126"/>
      <c r="C12" s="195">
        <v>1</v>
      </c>
      <c r="D12" s="145" t="s">
        <v>579</v>
      </c>
      <c r="E12" s="141"/>
      <c r="F12" s="77"/>
      <c r="G12" s="153"/>
      <c r="H12" s="83"/>
      <c r="I12" s="77"/>
      <c r="J12" s="77"/>
      <c r="K12" s="79"/>
      <c r="L12" s="77"/>
      <c r="M12" s="14"/>
      <c r="N12" s="62"/>
      <c r="O12" s="14"/>
      <c r="P12" s="14"/>
      <c r="Q12" s="14"/>
    </row>
    <row r="13" spans="1:17" s="25" customFormat="1" ht="39.75" x14ac:dyDescent="0.3">
      <c r="A13" s="122"/>
      <c r="B13" s="126"/>
      <c r="C13" s="195">
        <v>2</v>
      </c>
      <c r="D13" s="145" t="s">
        <v>580</v>
      </c>
      <c r="E13" s="141"/>
      <c r="F13" s="77"/>
      <c r="G13" s="153"/>
      <c r="H13" s="83"/>
      <c r="I13" s="77"/>
      <c r="J13" s="77"/>
      <c r="K13" s="79"/>
      <c r="L13" s="77"/>
      <c r="M13" s="14"/>
      <c r="N13" s="62"/>
      <c r="O13" s="14"/>
      <c r="P13" s="14"/>
      <c r="Q13" s="14"/>
    </row>
    <row r="14" spans="1:17" s="25" customFormat="1" ht="27" x14ac:dyDescent="0.3">
      <c r="A14" s="122"/>
      <c r="B14" s="126"/>
      <c r="C14" s="195">
        <v>3</v>
      </c>
      <c r="D14" s="145" t="s">
        <v>581</v>
      </c>
      <c r="E14" s="141"/>
      <c r="F14" s="77"/>
      <c r="G14" s="153"/>
      <c r="H14" s="83"/>
      <c r="I14" s="77"/>
      <c r="J14" s="77"/>
      <c r="K14" s="79"/>
      <c r="L14" s="77"/>
      <c r="M14" s="14"/>
      <c r="N14" s="62"/>
      <c r="O14" s="14"/>
      <c r="P14" s="14"/>
      <c r="Q14" s="14"/>
    </row>
    <row r="15" spans="1:17" s="25" customFormat="1" ht="39.75" x14ac:dyDescent="0.3">
      <c r="A15" s="122"/>
      <c r="B15" s="126"/>
      <c r="C15" s="195">
        <v>4</v>
      </c>
      <c r="D15" s="145" t="s">
        <v>582</v>
      </c>
      <c r="E15" s="141"/>
      <c r="F15" s="77"/>
      <c r="G15" s="153"/>
      <c r="H15" s="83"/>
      <c r="I15" s="77"/>
      <c r="J15" s="77"/>
      <c r="K15" s="79"/>
      <c r="L15" s="77"/>
      <c r="M15" s="14"/>
      <c r="N15" s="62"/>
      <c r="O15" s="14"/>
      <c r="P15" s="14"/>
      <c r="Q15" s="14"/>
    </row>
    <row r="16" spans="1:17" s="25" customFormat="1" ht="19.5" thickBot="1" x14ac:dyDescent="0.35">
      <c r="A16" s="122"/>
      <c r="B16" s="122"/>
      <c r="C16" s="502" t="s">
        <v>311</v>
      </c>
      <c r="D16" s="503"/>
      <c r="E16" s="144">
        <f>IF(E11&lt;0, "Salah Isi", IF(E11&lt;1, 1, IF(E11&lt;=4, E11, "Salah Isi")))</f>
        <v>1</v>
      </c>
      <c r="F16" s="77"/>
      <c r="G16" s="153"/>
      <c r="H16" s="83"/>
      <c r="I16" s="77"/>
      <c r="J16" s="77"/>
      <c r="K16" s="79"/>
      <c r="L16" s="77"/>
      <c r="M16" s="14"/>
      <c r="N16" s="62"/>
      <c r="O16" s="14"/>
      <c r="P16" s="14"/>
      <c r="Q16" s="14"/>
    </row>
    <row r="17" spans="1:17" s="25" customFormat="1" ht="19.5" thickBot="1" x14ac:dyDescent="0.35">
      <c r="A17" s="122"/>
      <c r="B17" s="122"/>
      <c r="C17" s="196"/>
      <c r="D17" s="196"/>
      <c r="E17" s="77"/>
      <c r="F17" s="77"/>
      <c r="G17" s="153"/>
      <c r="H17" s="83"/>
      <c r="I17" s="77"/>
      <c r="J17" s="77"/>
      <c r="K17" s="79"/>
      <c r="L17" s="77"/>
      <c r="M17" s="14"/>
      <c r="N17" s="62"/>
      <c r="O17" s="14"/>
      <c r="P17" s="14"/>
      <c r="Q17" s="14"/>
    </row>
    <row r="18" spans="1:17" s="25" customFormat="1" ht="30.75" customHeight="1" thickBot="1" x14ac:dyDescent="0.35">
      <c r="A18" s="122">
        <v>3</v>
      </c>
      <c r="B18" s="126" t="s">
        <v>524</v>
      </c>
      <c r="C18" s="530" t="s">
        <v>528</v>
      </c>
      <c r="D18" s="531"/>
      <c r="E18" s="142">
        <v>2</v>
      </c>
      <c r="F18" s="77"/>
      <c r="G18" s="152" t="s">
        <v>956</v>
      </c>
      <c r="H18" s="83"/>
      <c r="I18" s="77"/>
      <c r="J18" s="77"/>
      <c r="K18" s="79"/>
      <c r="L18" s="77"/>
      <c r="M18" s="14"/>
      <c r="N18" s="62"/>
      <c r="O18" s="14"/>
      <c r="P18" s="14"/>
      <c r="Q18" s="14"/>
    </row>
    <row r="19" spans="1:17" s="25" customFormat="1" ht="30.75" customHeight="1" x14ac:dyDescent="0.3">
      <c r="A19" s="122"/>
      <c r="B19" s="126"/>
      <c r="C19" s="197">
        <v>1</v>
      </c>
      <c r="D19" s="147" t="s">
        <v>583</v>
      </c>
      <c r="E19" s="149"/>
      <c r="F19" s="77"/>
      <c r="G19" s="153"/>
      <c r="H19" s="83"/>
      <c r="I19" s="77"/>
      <c r="J19" s="77"/>
      <c r="K19" s="79"/>
      <c r="L19" s="77"/>
      <c r="M19" s="14"/>
      <c r="N19" s="62"/>
      <c r="O19" s="14"/>
      <c r="P19" s="14"/>
      <c r="Q19" s="14"/>
    </row>
    <row r="20" spans="1:17" s="25" customFormat="1" ht="30.75" customHeight="1" x14ac:dyDescent="0.3">
      <c r="A20" s="122"/>
      <c r="B20" s="126"/>
      <c r="C20" s="197">
        <v>2</v>
      </c>
      <c r="D20" s="147" t="s">
        <v>584</v>
      </c>
      <c r="E20" s="149"/>
      <c r="F20" s="77"/>
      <c r="G20" s="153"/>
      <c r="H20" s="83"/>
      <c r="I20" s="77"/>
      <c r="J20" s="77"/>
      <c r="K20" s="79"/>
      <c r="L20" s="77"/>
      <c r="M20" s="14"/>
      <c r="N20" s="62"/>
      <c r="O20" s="14"/>
      <c r="P20" s="14"/>
      <c r="Q20" s="14"/>
    </row>
    <row r="21" spans="1:17" s="25" customFormat="1" ht="30.75" customHeight="1" x14ac:dyDescent="0.3">
      <c r="A21" s="122"/>
      <c r="B21" s="126"/>
      <c r="C21" s="197">
        <v>3</v>
      </c>
      <c r="D21" s="147" t="s">
        <v>585</v>
      </c>
      <c r="E21" s="149"/>
      <c r="F21" s="77"/>
      <c r="G21" s="153"/>
      <c r="H21" s="83"/>
      <c r="I21" s="77"/>
      <c r="J21" s="77"/>
      <c r="K21" s="79"/>
      <c r="L21" s="77"/>
      <c r="M21" s="14"/>
      <c r="N21" s="62"/>
      <c r="O21" s="14"/>
      <c r="P21" s="14"/>
      <c r="Q21" s="14"/>
    </row>
    <row r="22" spans="1:17" s="25" customFormat="1" ht="30.75" customHeight="1" x14ac:dyDescent="0.3">
      <c r="A22" s="122"/>
      <c r="B22" s="126"/>
      <c r="C22" s="197">
        <v>4</v>
      </c>
      <c r="D22" s="147" t="s">
        <v>586</v>
      </c>
      <c r="E22" s="149"/>
      <c r="F22" s="77"/>
      <c r="G22" s="153"/>
      <c r="H22" s="83"/>
      <c r="I22" s="77"/>
      <c r="J22" s="77"/>
      <c r="K22" s="79"/>
      <c r="L22" s="77"/>
      <c r="M22" s="14"/>
      <c r="N22" s="62"/>
      <c r="O22" s="14"/>
      <c r="P22" s="14"/>
      <c r="Q22" s="14"/>
    </row>
    <row r="23" spans="1:17" s="25" customFormat="1" ht="19.5" thickBot="1" x14ac:dyDescent="0.35">
      <c r="A23" s="122"/>
      <c r="B23" s="122"/>
      <c r="C23" s="502" t="s">
        <v>311</v>
      </c>
      <c r="D23" s="503"/>
      <c r="E23" s="144">
        <f>IF(E18&lt;0, "Salah Isi", IF(E18&lt;1, 1, IF(E18&lt;=4, E18, "Salah Isi")))</f>
        <v>2</v>
      </c>
      <c r="F23" s="77"/>
      <c r="G23" s="153"/>
      <c r="H23" s="83"/>
      <c r="I23" s="77"/>
      <c r="J23" s="77"/>
      <c r="K23" s="79"/>
      <c r="L23" s="77"/>
      <c r="M23" s="14"/>
      <c r="N23" s="62"/>
      <c r="O23" s="14"/>
      <c r="P23" s="14"/>
      <c r="Q23" s="14"/>
    </row>
    <row r="24" spans="1:17" s="25" customFormat="1" ht="19.5" thickBot="1" x14ac:dyDescent="0.35">
      <c r="A24" s="122"/>
      <c r="B24" s="122"/>
      <c r="C24" s="196"/>
      <c r="D24" s="196"/>
      <c r="E24" s="77"/>
      <c r="F24" s="77"/>
      <c r="G24" s="153"/>
      <c r="H24" s="83"/>
      <c r="I24" s="77"/>
      <c r="J24" s="77"/>
      <c r="K24" s="79"/>
      <c r="L24" s="77"/>
      <c r="M24" s="14"/>
      <c r="N24" s="62"/>
      <c r="O24" s="14"/>
      <c r="P24" s="14"/>
      <c r="Q24" s="14"/>
    </row>
    <row r="25" spans="1:17" s="25" customFormat="1" ht="45.75" customHeight="1" thickBot="1" x14ac:dyDescent="0.35">
      <c r="A25" s="122">
        <v>4</v>
      </c>
      <c r="B25" s="126" t="s">
        <v>525</v>
      </c>
      <c r="C25" s="530" t="s">
        <v>11</v>
      </c>
      <c r="D25" s="531"/>
      <c r="E25" s="142">
        <v>2</v>
      </c>
      <c r="F25" s="77"/>
      <c r="G25" s="152" t="s">
        <v>957</v>
      </c>
      <c r="H25" s="83"/>
      <c r="I25" s="77"/>
      <c r="J25" s="77"/>
      <c r="K25" s="79"/>
      <c r="L25" s="77"/>
      <c r="M25" s="14"/>
      <c r="N25" s="62"/>
      <c r="O25" s="14"/>
      <c r="P25" s="14"/>
      <c r="Q25" s="14"/>
    </row>
    <row r="26" spans="1:17" s="25" customFormat="1" ht="39.75" x14ac:dyDescent="0.3">
      <c r="A26" s="122"/>
      <c r="B26" s="126"/>
      <c r="C26" s="195">
        <v>1</v>
      </c>
      <c r="D26" s="145" t="s">
        <v>590</v>
      </c>
      <c r="E26" s="141"/>
      <c r="F26" s="77"/>
      <c r="G26" s="153"/>
      <c r="H26" s="83"/>
      <c r="I26" s="77"/>
      <c r="J26" s="77"/>
      <c r="K26" s="79"/>
      <c r="L26" s="77"/>
      <c r="M26" s="14"/>
      <c r="N26" s="62"/>
      <c r="O26" s="14"/>
      <c r="P26" s="14"/>
      <c r="Q26" s="14"/>
    </row>
    <row r="27" spans="1:17" s="25" customFormat="1" ht="65.25" x14ac:dyDescent="0.3">
      <c r="A27" s="122"/>
      <c r="B27" s="126"/>
      <c r="C27" s="195">
        <v>2</v>
      </c>
      <c r="D27" s="145" t="s">
        <v>587</v>
      </c>
      <c r="E27" s="141"/>
      <c r="F27" s="77"/>
      <c r="G27" s="153"/>
      <c r="H27" s="83"/>
      <c r="I27" s="77"/>
      <c r="J27" s="77"/>
      <c r="K27" s="79"/>
      <c r="L27" s="77"/>
      <c r="M27" s="14"/>
      <c r="N27" s="62"/>
      <c r="O27" s="14"/>
      <c r="P27" s="14"/>
      <c r="Q27" s="14"/>
    </row>
    <row r="28" spans="1:17" s="25" customFormat="1" ht="65.25" x14ac:dyDescent="0.3">
      <c r="A28" s="122"/>
      <c r="B28" s="126"/>
      <c r="C28" s="195">
        <v>3</v>
      </c>
      <c r="D28" s="145" t="s">
        <v>588</v>
      </c>
      <c r="E28" s="141"/>
      <c r="F28" s="77"/>
      <c r="G28" s="153"/>
      <c r="H28" s="83"/>
      <c r="I28" s="77"/>
      <c r="J28" s="77"/>
      <c r="K28" s="79"/>
      <c r="L28" s="77"/>
      <c r="M28" s="14"/>
      <c r="N28" s="62"/>
      <c r="O28" s="14"/>
      <c r="P28" s="14"/>
      <c r="Q28" s="14"/>
    </row>
    <row r="29" spans="1:17" s="25" customFormat="1" ht="65.25" x14ac:dyDescent="0.3">
      <c r="A29" s="122"/>
      <c r="B29" s="126"/>
      <c r="C29" s="195">
        <v>4</v>
      </c>
      <c r="D29" s="145" t="s">
        <v>589</v>
      </c>
      <c r="E29" s="141"/>
      <c r="F29" s="77"/>
      <c r="G29" s="153"/>
      <c r="H29" s="83"/>
      <c r="I29" s="77"/>
      <c r="J29" s="77"/>
      <c r="K29" s="79"/>
      <c r="L29" s="77"/>
      <c r="M29" s="14"/>
      <c r="N29" s="62"/>
      <c r="O29" s="14"/>
      <c r="P29" s="14"/>
      <c r="Q29" s="14"/>
    </row>
    <row r="30" spans="1:17" s="25" customFormat="1" ht="19.5" thickBot="1" x14ac:dyDescent="0.35">
      <c r="A30" s="122"/>
      <c r="B30" s="122"/>
      <c r="C30" s="502" t="s">
        <v>311</v>
      </c>
      <c r="D30" s="503"/>
      <c r="E30" s="144">
        <f>IF(E25&lt;0, "Salah Isi", IF(E25&lt;1, 1, IF(E25&lt;=4, E25, "Salah Isi")))</f>
        <v>2</v>
      </c>
      <c r="F30" s="77"/>
      <c r="G30" s="153"/>
      <c r="H30" s="83"/>
      <c r="I30" s="77"/>
      <c r="J30" s="77"/>
      <c r="K30" s="79"/>
      <c r="L30" s="77"/>
      <c r="M30" s="14"/>
      <c r="N30" s="62"/>
      <c r="O30" s="14"/>
      <c r="P30" s="14"/>
      <c r="Q30" s="14"/>
    </row>
    <row r="31" spans="1:17" s="25" customFormat="1" ht="19.5" thickBot="1" x14ac:dyDescent="0.35">
      <c r="A31" s="122"/>
      <c r="B31" s="122"/>
      <c r="C31" s="196"/>
      <c r="D31" s="196"/>
      <c r="E31" s="77"/>
      <c r="F31" s="77"/>
      <c r="G31" s="153"/>
      <c r="H31" s="83"/>
      <c r="I31" s="77"/>
      <c r="J31" s="77"/>
      <c r="K31" s="79"/>
      <c r="L31" s="77"/>
      <c r="M31" s="14"/>
      <c r="N31" s="62"/>
      <c r="O31" s="14"/>
      <c r="P31" s="14"/>
      <c r="Q31" s="14"/>
    </row>
    <row r="32" spans="1:17" s="25" customFormat="1" ht="19.5" thickBot="1" x14ac:dyDescent="0.35">
      <c r="A32" s="122">
        <v>5</v>
      </c>
      <c r="B32" s="126" t="s">
        <v>526</v>
      </c>
      <c r="C32" s="198" t="s">
        <v>527</v>
      </c>
      <c r="D32" s="199"/>
      <c r="E32" s="142">
        <v>2.5</v>
      </c>
      <c r="F32" s="77"/>
      <c r="G32" s="154" t="s">
        <v>958</v>
      </c>
      <c r="H32" s="83"/>
      <c r="I32" s="77"/>
      <c r="J32" s="77"/>
      <c r="K32" s="79"/>
      <c r="L32" s="77"/>
      <c r="M32" s="14"/>
      <c r="N32" s="62"/>
      <c r="O32" s="14"/>
      <c r="P32" s="14"/>
      <c r="Q32" s="14"/>
    </row>
    <row r="33" spans="1:17" s="25" customFormat="1" ht="39.75" x14ac:dyDescent="0.3">
      <c r="A33" s="122"/>
      <c r="B33" s="126"/>
      <c r="C33" s="195">
        <v>1</v>
      </c>
      <c r="D33" s="145" t="s">
        <v>591</v>
      </c>
      <c r="E33" s="141"/>
      <c r="F33" s="77"/>
      <c r="G33" s="153"/>
      <c r="H33" s="83"/>
      <c r="I33" s="77"/>
      <c r="J33" s="77"/>
      <c r="K33" s="79"/>
      <c r="L33" s="77"/>
      <c r="M33" s="14"/>
      <c r="N33" s="62"/>
      <c r="O33" s="14"/>
      <c r="P33" s="14"/>
      <c r="Q33" s="14"/>
    </row>
    <row r="34" spans="1:17" s="25" customFormat="1" ht="52.5" x14ac:dyDescent="0.3">
      <c r="A34" s="122"/>
      <c r="B34" s="126"/>
      <c r="C34" s="195">
        <v>2</v>
      </c>
      <c r="D34" s="145" t="s">
        <v>592</v>
      </c>
      <c r="E34" s="141"/>
      <c r="F34" s="77"/>
      <c r="G34" s="153"/>
      <c r="H34" s="83"/>
      <c r="I34" s="77"/>
      <c r="J34" s="77"/>
      <c r="K34" s="79"/>
      <c r="L34" s="77"/>
      <c r="M34" s="14"/>
      <c r="N34" s="62"/>
      <c r="O34" s="14"/>
      <c r="P34" s="14"/>
      <c r="Q34" s="14"/>
    </row>
    <row r="35" spans="1:17" s="25" customFormat="1" ht="52.5" x14ac:dyDescent="0.3">
      <c r="A35" s="122"/>
      <c r="B35" s="126"/>
      <c r="C35" s="195">
        <v>3</v>
      </c>
      <c r="D35" s="145" t="s">
        <v>593</v>
      </c>
      <c r="E35" s="141"/>
      <c r="F35" s="77"/>
      <c r="G35" s="153"/>
      <c r="H35" s="83"/>
      <c r="I35" s="77"/>
      <c r="J35" s="77"/>
      <c r="K35" s="79"/>
      <c r="L35" s="77"/>
      <c r="M35" s="14"/>
      <c r="N35" s="62"/>
      <c r="O35" s="14"/>
      <c r="P35" s="14"/>
      <c r="Q35" s="14"/>
    </row>
    <row r="36" spans="1:17" s="25" customFormat="1" ht="39.75" x14ac:dyDescent="0.3">
      <c r="A36" s="122"/>
      <c r="B36" s="126"/>
      <c r="C36" s="195">
        <v>4</v>
      </c>
      <c r="D36" s="145" t="s">
        <v>594</v>
      </c>
      <c r="E36" s="141"/>
      <c r="F36" s="77"/>
      <c r="G36" s="153"/>
      <c r="H36" s="83"/>
      <c r="I36" s="77"/>
      <c r="J36" s="77"/>
      <c r="K36" s="79"/>
      <c r="L36" s="77"/>
      <c r="M36" s="14"/>
      <c r="N36" s="62"/>
      <c r="O36" s="14"/>
      <c r="P36" s="14"/>
      <c r="Q36" s="14"/>
    </row>
    <row r="37" spans="1:17" s="25" customFormat="1" ht="19.5" thickBot="1" x14ac:dyDescent="0.35">
      <c r="A37" s="122"/>
      <c r="B37" s="122"/>
      <c r="C37" s="502" t="s">
        <v>311</v>
      </c>
      <c r="D37" s="503"/>
      <c r="E37" s="144">
        <f>IF(E32&lt;0, "Salah Isi", IF(E32&lt;1, 1, IF(E32&lt;=4, E32, "Salah Isi")))</f>
        <v>2.5</v>
      </c>
      <c r="F37" s="77"/>
      <c r="G37" s="153"/>
      <c r="H37" s="83"/>
      <c r="I37" s="77"/>
      <c r="J37" s="77"/>
      <c r="K37" s="79"/>
      <c r="L37" s="77"/>
      <c r="M37" s="14"/>
      <c r="N37" s="62"/>
      <c r="O37" s="14"/>
      <c r="P37" s="14"/>
      <c r="Q37" s="14"/>
    </row>
    <row r="38" spans="1:17" s="25" customFormat="1" ht="19.5" thickBot="1" x14ac:dyDescent="0.35">
      <c r="A38" s="122"/>
      <c r="B38" s="122"/>
      <c r="C38" s="196"/>
      <c r="D38" s="196"/>
      <c r="E38" s="77"/>
      <c r="F38" s="77"/>
      <c r="G38" s="153"/>
      <c r="H38" s="83"/>
      <c r="I38" s="77"/>
      <c r="J38" s="77"/>
      <c r="K38" s="79"/>
      <c r="L38" s="77"/>
      <c r="M38" s="14"/>
      <c r="N38" s="62"/>
      <c r="O38" s="14"/>
      <c r="P38" s="14"/>
      <c r="Q38" s="14"/>
    </row>
    <row r="39" spans="1:17" s="25" customFormat="1" ht="19.5" thickBot="1" x14ac:dyDescent="0.35">
      <c r="A39" s="122">
        <v>6</v>
      </c>
      <c r="B39" s="126" t="s">
        <v>529</v>
      </c>
      <c r="C39" s="198" t="s">
        <v>595</v>
      </c>
      <c r="D39" s="199"/>
      <c r="E39" s="142">
        <v>3</v>
      </c>
      <c r="F39" s="77"/>
      <c r="G39" s="152" t="s">
        <v>959</v>
      </c>
      <c r="H39" s="83"/>
      <c r="I39" s="77"/>
      <c r="J39" s="77"/>
      <c r="K39" s="79"/>
      <c r="L39" s="77"/>
      <c r="M39" s="14"/>
      <c r="N39" s="62"/>
      <c r="O39" s="14"/>
      <c r="P39" s="14"/>
      <c r="Q39" s="14"/>
    </row>
    <row r="40" spans="1:17" s="25" customFormat="1" ht="18.75" x14ac:dyDescent="0.3">
      <c r="A40" s="122"/>
      <c r="B40" s="126"/>
      <c r="C40" s="200">
        <v>0</v>
      </c>
      <c r="D40" s="150" t="s">
        <v>596</v>
      </c>
      <c r="E40" s="151"/>
      <c r="F40" s="77"/>
      <c r="G40" s="153"/>
      <c r="H40" s="83"/>
      <c r="I40" s="77"/>
      <c r="J40" s="77"/>
      <c r="K40" s="79"/>
      <c r="L40" s="77"/>
      <c r="M40" s="14"/>
      <c r="N40" s="62"/>
      <c r="O40" s="14"/>
      <c r="P40" s="14"/>
      <c r="Q40" s="14"/>
    </row>
    <row r="41" spans="1:17" s="25" customFormat="1" ht="27" x14ac:dyDescent="0.3">
      <c r="A41" s="122"/>
      <c r="B41" s="126"/>
      <c r="C41" s="195">
        <v>1</v>
      </c>
      <c r="D41" s="147" t="s">
        <v>597</v>
      </c>
      <c r="E41" s="149"/>
      <c r="F41" s="77"/>
      <c r="G41" s="153"/>
      <c r="H41" s="83"/>
      <c r="I41" s="77"/>
      <c r="J41" s="77"/>
      <c r="K41" s="79"/>
      <c r="L41" s="77"/>
      <c r="M41" s="14"/>
      <c r="N41" s="62"/>
      <c r="O41" s="14"/>
      <c r="P41" s="14"/>
      <c r="Q41" s="14"/>
    </row>
    <row r="42" spans="1:17" s="25" customFormat="1" ht="39.75" x14ac:dyDescent="0.3">
      <c r="A42" s="122"/>
      <c r="B42" s="126"/>
      <c r="C42" s="195">
        <v>2</v>
      </c>
      <c r="D42" s="147" t="s">
        <v>598</v>
      </c>
      <c r="E42" s="149"/>
      <c r="F42" s="77"/>
      <c r="G42" s="153"/>
      <c r="H42" s="83"/>
      <c r="I42" s="77"/>
      <c r="J42" s="77"/>
      <c r="K42" s="79"/>
      <c r="L42" s="77"/>
      <c r="M42" s="14"/>
      <c r="N42" s="62"/>
      <c r="O42" s="14"/>
      <c r="P42" s="14"/>
      <c r="Q42" s="14"/>
    </row>
    <row r="43" spans="1:17" s="25" customFormat="1" ht="39.75" x14ac:dyDescent="0.3">
      <c r="A43" s="122"/>
      <c r="B43" s="126"/>
      <c r="C43" s="195">
        <v>3</v>
      </c>
      <c r="D43" s="147" t="s">
        <v>599</v>
      </c>
      <c r="E43" s="149"/>
      <c r="F43" s="77"/>
      <c r="G43" s="153"/>
      <c r="H43" s="83"/>
      <c r="I43" s="77"/>
      <c r="J43" s="77"/>
      <c r="K43" s="79"/>
      <c r="L43" s="77"/>
      <c r="M43" s="14"/>
      <c r="N43" s="62"/>
      <c r="O43" s="14"/>
      <c r="P43" s="14"/>
      <c r="Q43" s="14"/>
    </row>
    <row r="44" spans="1:17" s="25" customFormat="1" ht="39.75" x14ac:dyDescent="0.3">
      <c r="A44" s="122"/>
      <c r="B44" s="126"/>
      <c r="C44" s="195">
        <v>4</v>
      </c>
      <c r="D44" s="147" t="s">
        <v>600</v>
      </c>
      <c r="E44" s="149"/>
      <c r="F44" s="77"/>
      <c r="G44" s="153"/>
      <c r="H44" s="83"/>
      <c r="I44" s="77"/>
      <c r="J44" s="77"/>
      <c r="K44" s="79"/>
      <c r="L44" s="77"/>
      <c r="M44" s="14"/>
      <c r="N44" s="62"/>
      <c r="O44" s="14"/>
      <c r="P44" s="14"/>
      <c r="Q44" s="14"/>
    </row>
    <row r="45" spans="1:17" s="25" customFormat="1" ht="19.5" thickBot="1" x14ac:dyDescent="0.35">
      <c r="A45" s="122"/>
      <c r="B45" s="122"/>
      <c r="C45" s="502" t="s">
        <v>311</v>
      </c>
      <c r="D45" s="503"/>
      <c r="E45" s="144">
        <f>IF(E39&lt;0, "Salah Isi", IF(E39&lt;=4, E39, "Salah Isi"))</f>
        <v>3</v>
      </c>
      <c r="F45" s="77"/>
      <c r="G45" s="153"/>
      <c r="H45" s="83"/>
      <c r="I45" s="77"/>
      <c r="J45" s="77"/>
      <c r="K45" s="79"/>
      <c r="L45" s="77"/>
      <c r="M45" s="14"/>
      <c r="N45" s="62"/>
      <c r="O45" s="14"/>
      <c r="P45" s="14"/>
      <c r="Q45" s="14"/>
    </row>
    <row r="46" spans="1:17" s="25" customFormat="1" ht="19.5" thickBot="1" x14ac:dyDescent="0.35">
      <c r="A46" s="122"/>
      <c r="B46" s="122"/>
      <c r="C46" s="196"/>
      <c r="D46" s="196"/>
      <c r="E46" s="77"/>
      <c r="F46" s="77"/>
      <c r="G46" s="153"/>
      <c r="H46" s="83"/>
      <c r="I46" s="77"/>
      <c r="J46" s="77"/>
      <c r="K46" s="79"/>
      <c r="L46" s="77"/>
      <c r="M46" s="14"/>
      <c r="N46" s="62"/>
      <c r="O46" s="14"/>
      <c r="P46" s="14"/>
      <c r="Q46" s="14"/>
    </row>
    <row r="47" spans="1:17" s="25" customFormat="1" ht="19.5" thickBot="1" x14ac:dyDescent="0.35">
      <c r="A47" s="122">
        <v>7</v>
      </c>
      <c r="B47" s="126" t="s">
        <v>530</v>
      </c>
      <c r="C47" s="198" t="s">
        <v>531</v>
      </c>
      <c r="D47" s="199"/>
      <c r="E47" s="142">
        <v>2.5</v>
      </c>
      <c r="F47" s="77"/>
      <c r="G47" s="152" t="s">
        <v>960</v>
      </c>
      <c r="H47" s="83"/>
      <c r="I47" s="77"/>
      <c r="J47" s="77"/>
      <c r="K47" s="79"/>
      <c r="L47" s="77"/>
      <c r="M47" s="14"/>
      <c r="N47" s="62"/>
      <c r="O47" s="14"/>
      <c r="P47" s="14"/>
      <c r="Q47" s="14"/>
    </row>
    <row r="48" spans="1:17" s="25" customFormat="1" ht="18.75" x14ac:dyDescent="0.3">
      <c r="A48" s="122"/>
      <c r="B48" s="126"/>
      <c r="C48" s="200">
        <v>0</v>
      </c>
      <c r="D48" s="150" t="s">
        <v>601</v>
      </c>
      <c r="E48" s="149"/>
      <c r="F48" s="77"/>
      <c r="G48" s="153"/>
      <c r="H48" s="83"/>
      <c r="I48" s="77"/>
      <c r="J48" s="77"/>
      <c r="K48" s="79"/>
      <c r="L48" s="77"/>
      <c r="M48" s="14"/>
      <c r="N48" s="62"/>
      <c r="O48" s="14"/>
      <c r="P48" s="14"/>
      <c r="Q48" s="14"/>
    </row>
    <row r="49" spans="1:17" s="25" customFormat="1" ht="18.75" x14ac:dyDescent="0.3">
      <c r="A49" s="122"/>
      <c r="B49" s="126"/>
      <c r="C49" s="195">
        <v>1</v>
      </c>
      <c r="D49" s="147" t="s">
        <v>602</v>
      </c>
      <c r="E49" s="149"/>
      <c r="F49" s="77"/>
      <c r="G49" s="153"/>
      <c r="H49" s="83"/>
      <c r="I49" s="77"/>
      <c r="J49" s="77"/>
      <c r="K49" s="79"/>
      <c r="L49" s="77"/>
      <c r="M49" s="14"/>
      <c r="N49" s="62"/>
      <c r="O49" s="14"/>
      <c r="P49" s="14"/>
      <c r="Q49" s="14"/>
    </row>
    <row r="50" spans="1:17" s="25" customFormat="1" ht="27" x14ac:dyDescent="0.3">
      <c r="A50" s="122"/>
      <c r="B50" s="126"/>
      <c r="C50" s="195">
        <v>2</v>
      </c>
      <c r="D50" s="147" t="s">
        <v>603</v>
      </c>
      <c r="E50" s="149"/>
      <c r="F50" s="77"/>
      <c r="G50" s="153"/>
      <c r="H50" s="83"/>
      <c r="I50" s="77"/>
      <c r="J50" s="77"/>
      <c r="K50" s="79"/>
      <c r="L50" s="77"/>
      <c r="M50" s="14"/>
      <c r="N50" s="62"/>
      <c r="O50" s="14"/>
      <c r="P50" s="14"/>
      <c r="Q50" s="14"/>
    </row>
    <row r="51" spans="1:17" s="25" customFormat="1" ht="39.75" x14ac:dyDescent="0.3">
      <c r="A51" s="122"/>
      <c r="B51" s="126"/>
      <c r="C51" s="195">
        <v>3</v>
      </c>
      <c r="D51" s="147" t="s">
        <v>604</v>
      </c>
      <c r="E51" s="149"/>
      <c r="F51" s="77"/>
      <c r="G51" s="153"/>
      <c r="H51" s="83"/>
      <c r="I51" s="77"/>
      <c r="J51" s="77"/>
      <c r="K51" s="79"/>
      <c r="L51" s="77"/>
      <c r="M51" s="14"/>
      <c r="N51" s="62"/>
      <c r="O51" s="14"/>
      <c r="P51" s="14"/>
      <c r="Q51" s="14"/>
    </row>
    <row r="52" spans="1:17" s="25" customFormat="1" ht="39.75" x14ac:dyDescent="0.3">
      <c r="A52" s="122"/>
      <c r="B52" s="126"/>
      <c r="C52" s="195">
        <v>4</v>
      </c>
      <c r="D52" s="147" t="s">
        <v>605</v>
      </c>
      <c r="E52" s="149"/>
      <c r="F52" s="77"/>
      <c r="G52" s="153"/>
      <c r="H52" s="83"/>
      <c r="I52" s="77"/>
      <c r="J52" s="77"/>
      <c r="K52" s="79"/>
      <c r="L52" s="77"/>
      <c r="M52" s="14"/>
      <c r="N52" s="62"/>
      <c r="O52" s="14"/>
      <c r="P52" s="14"/>
      <c r="Q52" s="14"/>
    </row>
    <row r="53" spans="1:17" s="25" customFormat="1" ht="19.5" thickBot="1" x14ac:dyDescent="0.35">
      <c r="A53" s="122"/>
      <c r="B53" s="122"/>
      <c r="C53" s="502" t="s">
        <v>311</v>
      </c>
      <c r="D53" s="503"/>
      <c r="E53" s="144">
        <f>IF(E47&lt;0, "Salah Isi", IF(E47&lt;=4, E47, "Salah Isi"))</f>
        <v>2.5</v>
      </c>
      <c r="F53" s="77"/>
      <c r="G53" s="153"/>
      <c r="H53" s="83"/>
      <c r="I53" s="77"/>
      <c r="J53" s="77"/>
      <c r="K53" s="79"/>
      <c r="L53" s="77"/>
      <c r="M53" s="14"/>
      <c r="N53" s="62"/>
      <c r="O53" s="14"/>
      <c r="P53" s="14"/>
      <c r="Q53" s="14"/>
    </row>
    <row r="54" spans="1:17" s="25" customFormat="1" ht="19.5" thickBot="1" x14ac:dyDescent="0.35">
      <c r="A54" s="122"/>
      <c r="B54" s="122"/>
      <c r="C54" s="196"/>
      <c r="D54" s="196"/>
      <c r="E54" s="77"/>
      <c r="F54" s="77"/>
      <c r="G54" s="153"/>
      <c r="H54" s="83"/>
      <c r="I54" s="77"/>
      <c r="J54" s="77"/>
      <c r="K54" s="79"/>
      <c r="L54" s="77"/>
      <c r="M54" s="14"/>
      <c r="N54" s="62"/>
      <c r="O54" s="14"/>
      <c r="P54" s="14"/>
      <c r="Q54" s="14"/>
    </row>
    <row r="55" spans="1:17" s="25" customFormat="1" ht="41.25" customHeight="1" thickBot="1" x14ac:dyDescent="0.35">
      <c r="A55" s="122">
        <v>8</v>
      </c>
      <c r="B55" s="126" t="s">
        <v>532</v>
      </c>
      <c r="C55" s="530" t="s">
        <v>606</v>
      </c>
      <c r="D55" s="531"/>
      <c r="E55" s="142">
        <v>2</v>
      </c>
      <c r="F55" s="77"/>
      <c r="G55" s="152" t="s">
        <v>961</v>
      </c>
      <c r="H55" s="83"/>
      <c r="I55" s="77"/>
      <c r="J55" s="77"/>
      <c r="K55" s="79"/>
      <c r="L55" s="77"/>
      <c r="M55" s="14"/>
      <c r="N55" s="62"/>
      <c r="O55" s="14"/>
      <c r="P55" s="14"/>
      <c r="Q55" s="14"/>
    </row>
    <row r="56" spans="1:17" s="25" customFormat="1" ht="18.75" x14ac:dyDescent="0.3">
      <c r="A56" s="122"/>
      <c r="B56" s="126"/>
      <c r="C56" s="195">
        <v>0</v>
      </c>
      <c r="D56" s="147" t="s">
        <v>607</v>
      </c>
      <c r="E56" s="149"/>
      <c r="F56" s="77"/>
      <c r="G56" s="153"/>
      <c r="H56" s="83"/>
      <c r="I56" s="77"/>
      <c r="J56" s="77"/>
      <c r="K56" s="79"/>
      <c r="L56" s="77"/>
      <c r="M56" s="14"/>
      <c r="N56" s="62"/>
      <c r="O56" s="14"/>
      <c r="P56" s="14"/>
      <c r="Q56" s="14"/>
    </row>
    <row r="57" spans="1:17" s="25" customFormat="1" ht="27" x14ac:dyDescent="0.3">
      <c r="A57" s="122"/>
      <c r="B57" s="126"/>
      <c r="C57" s="195">
        <v>1</v>
      </c>
      <c r="D57" s="147" t="s">
        <v>608</v>
      </c>
      <c r="E57" s="149"/>
      <c r="F57" s="77"/>
      <c r="G57" s="153"/>
      <c r="H57" s="83"/>
      <c r="I57" s="77"/>
      <c r="J57" s="77"/>
      <c r="K57" s="79"/>
      <c r="L57" s="77"/>
      <c r="M57" s="14"/>
      <c r="N57" s="62"/>
      <c r="O57" s="14"/>
      <c r="P57" s="14"/>
      <c r="Q57" s="14"/>
    </row>
    <row r="58" spans="1:17" s="25" customFormat="1" ht="27" x14ac:dyDescent="0.3">
      <c r="A58" s="122"/>
      <c r="B58" s="126"/>
      <c r="C58" s="195">
        <v>2</v>
      </c>
      <c r="D58" s="147" t="s">
        <v>609</v>
      </c>
      <c r="E58" s="149"/>
      <c r="F58" s="77"/>
      <c r="G58" s="153"/>
      <c r="H58" s="83"/>
      <c r="I58" s="77"/>
      <c r="J58" s="77"/>
      <c r="K58" s="79"/>
      <c r="L58" s="77"/>
      <c r="M58" s="14"/>
      <c r="N58" s="62"/>
      <c r="O58" s="14"/>
      <c r="P58" s="14"/>
      <c r="Q58" s="14"/>
    </row>
    <row r="59" spans="1:17" s="25" customFormat="1" ht="27" x14ac:dyDescent="0.3">
      <c r="A59" s="122"/>
      <c r="B59" s="126"/>
      <c r="C59" s="195">
        <v>3</v>
      </c>
      <c r="D59" s="147" t="s">
        <v>610</v>
      </c>
      <c r="E59" s="149"/>
      <c r="F59" s="77"/>
      <c r="G59" s="153"/>
      <c r="H59" s="83"/>
      <c r="I59" s="77"/>
      <c r="J59" s="77"/>
      <c r="K59" s="79"/>
      <c r="L59" s="77"/>
      <c r="M59" s="14"/>
      <c r="N59" s="62"/>
      <c r="O59" s="14"/>
      <c r="P59" s="14"/>
      <c r="Q59" s="14"/>
    </row>
    <row r="60" spans="1:17" s="25" customFormat="1" ht="27" x14ac:dyDescent="0.3">
      <c r="A60" s="122"/>
      <c r="B60" s="126"/>
      <c r="C60" s="195">
        <v>4</v>
      </c>
      <c r="D60" s="147" t="s">
        <v>611</v>
      </c>
      <c r="E60" s="149"/>
      <c r="F60" s="77"/>
      <c r="G60" s="153"/>
      <c r="H60" s="83"/>
      <c r="I60" s="77"/>
      <c r="J60" s="77"/>
      <c r="K60" s="79"/>
      <c r="L60" s="77"/>
      <c r="M60" s="14"/>
      <c r="N60" s="62"/>
      <c r="O60" s="14"/>
      <c r="P60" s="14"/>
      <c r="Q60" s="14"/>
    </row>
    <row r="61" spans="1:17" s="25" customFormat="1" ht="19.5" thickBot="1" x14ac:dyDescent="0.35">
      <c r="A61" s="122"/>
      <c r="B61" s="122"/>
      <c r="C61" s="496" t="s">
        <v>311</v>
      </c>
      <c r="D61" s="497"/>
      <c r="E61" s="144">
        <f>IF(E55&lt;0, "Salah Isi", IF(E55&lt;=4, E55, "Salah Isi"))</f>
        <v>2</v>
      </c>
      <c r="F61" s="77"/>
      <c r="G61" s="153"/>
      <c r="H61" s="83"/>
      <c r="I61" s="77"/>
      <c r="J61" s="77"/>
      <c r="K61" s="79"/>
      <c r="L61" s="77"/>
      <c r="M61" s="14"/>
      <c r="N61" s="62"/>
      <c r="O61" s="14"/>
      <c r="P61" s="14"/>
      <c r="Q61" s="14"/>
    </row>
    <row r="62" spans="1:17" s="25" customFormat="1" ht="19.5" thickBot="1" x14ac:dyDescent="0.35">
      <c r="A62" s="122"/>
      <c r="B62" s="122"/>
      <c r="C62" s="194"/>
      <c r="D62" s="194"/>
      <c r="E62" s="77"/>
      <c r="F62" s="77"/>
      <c r="G62" s="153"/>
      <c r="H62" s="83"/>
      <c r="I62" s="77"/>
      <c r="J62" s="77"/>
      <c r="K62" s="79"/>
      <c r="L62" s="77"/>
      <c r="M62" s="14"/>
      <c r="N62" s="62"/>
      <c r="O62" s="14"/>
      <c r="P62" s="14"/>
      <c r="Q62" s="14"/>
    </row>
    <row r="63" spans="1:17" s="25" customFormat="1" ht="72.75" customHeight="1" thickBot="1" x14ac:dyDescent="0.35">
      <c r="A63" s="122">
        <v>9</v>
      </c>
      <c r="B63" s="126" t="s">
        <v>533</v>
      </c>
      <c r="C63" s="528" t="s">
        <v>612</v>
      </c>
      <c r="D63" s="529"/>
      <c r="E63" s="142">
        <v>3</v>
      </c>
      <c r="F63" s="77"/>
      <c r="G63" s="152" t="s">
        <v>962</v>
      </c>
      <c r="H63" s="83"/>
      <c r="I63" s="77"/>
      <c r="J63" s="77"/>
      <c r="K63" s="79"/>
      <c r="L63" s="77"/>
      <c r="M63" s="14"/>
      <c r="N63" s="62"/>
      <c r="O63" s="14"/>
      <c r="P63" s="14"/>
      <c r="Q63" s="14"/>
    </row>
    <row r="64" spans="1:17" s="25" customFormat="1" ht="18.75" x14ac:dyDescent="0.3">
      <c r="A64" s="122"/>
      <c r="B64" s="126"/>
      <c r="C64" s="202">
        <v>0</v>
      </c>
      <c r="D64" s="123" t="s">
        <v>613</v>
      </c>
      <c r="E64" s="149"/>
      <c r="F64" s="77"/>
      <c r="G64" s="153"/>
      <c r="H64" s="83"/>
      <c r="I64" s="77"/>
      <c r="J64" s="77"/>
      <c r="K64" s="79"/>
      <c r="L64" s="77"/>
      <c r="M64" s="14"/>
      <c r="N64" s="62"/>
      <c r="O64" s="14"/>
      <c r="P64" s="14"/>
      <c r="Q64" s="14"/>
    </row>
    <row r="65" spans="1:17" s="25" customFormat="1" ht="18.75" x14ac:dyDescent="0.3">
      <c r="A65" s="122"/>
      <c r="B65" s="126"/>
      <c r="C65" s="202">
        <v>1</v>
      </c>
      <c r="D65" s="123" t="s">
        <v>614</v>
      </c>
      <c r="E65" s="149"/>
      <c r="F65" s="77"/>
      <c r="G65" s="153"/>
      <c r="H65" s="83"/>
      <c r="I65" s="77"/>
      <c r="J65" s="77"/>
      <c r="K65" s="79"/>
      <c r="L65" s="77"/>
      <c r="M65" s="14"/>
      <c r="N65" s="62"/>
      <c r="O65" s="14"/>
      <c r="P65" s="14"/>
      <c r="Q65" s="14"/>
    </row>
    <row r="66" spans="1:17" s="25" customFormat="1" ht="18.75" x14ac:dyDescent="0.3">
      <c r="A66" s="122"/>
      <c r="B66" s="126"/>
      <c r="C66" s="202">
        <v>2</v>
      </c>
      <c r="D66" s="123" t="s">
        <v>615</v>
      </c>
      <c r="E66" s="149"/>
      <c r="F66" s="77"/>
      <c r="G66" s="153"/>
      <c r="H66" s="83"/>
      <c r="I66" s="77"/>
      <c r="J66" s="77"/>
      <c r="K66" s="79"/>
      <c r="L66" s="77"/>
      <c r="M66" s="14"/>
      <c r="N66" s="62"/>
      <c r="O66" s="14"/>
      <c r="P66" s="14"/>
      <c r="Q66" s="14"/>
    </row>
    <row r="67" spans="1:17" s="25" customFormat="1" ht="18.75" x14ac:dyDescent="0.3">
      <c r="A67" s="122"/>
      <c r="B67" s="126"/>
      <c r="C67" s="202">
        <v>3</v>
      </c>
      <c r="D67" s="123" t="s">
        <v>616</v>
      </c>
      <c r="E67" s="149"/>
      <c r="F67" s="77"/>
      <c r="G67" s="153"/>
      <c r="H67" s="83"/>
      <c r="I67" s="77"/>
      <c r="J67" s="77"/>
      <c r="K67" s="79"/>
      <c r="L67" s="77"/>
      <c r="M67" s="14"/>
      <c r="N67" s="62"/>
      <c r="O67" s="14"/>
      <c r="P67" s="14"/>
      <c r="Q67" s="14"/>
    </row>
    <row r="68" spans="1:17" s="25" customFormat="1" ht="18.75" x14ac:dyDescent="0.3">
      <c r="A68" s="122"/>
      <c r="B68" s="126"/>
      <c r="C68" s="203">
        <v>4</v>
      </c>
      <c r="D68" s="158" t="s">
        <v>617</v>
      </c>
      <c r="E68" s="159"/>
      <c r="F68" s="77"/>
      <c r="G68" s="153"/>
      <c r="H68" s="83"/>
      <c r="I68" s="77"/>
      <c r="J68" s="77"/>
      <c r="K68" s="79"/>
      <c r="L68" s="77"/>
      <c r="M68" s="14"/>
      <c r="N68" s="62"/>
      <c r="O68" s="14"/>
      <c r="P68" s="14"/>
      <c r="Q68" s="14"/>
    </row>
    <row r="69" spans="1:17" s="25" customFormat="1" ht="19.5" thickBot="1" x14ac:dyDescent="0.35">
      <c r="A69" s="122"/>
      <c r="B69" s="122"/>
      <c r="C69" s="496" t="s">
        <v>311</v>
      </c>
      <c r="D69" s="497"/>
      <c r="E69" s="144">
        <f>IF(E63&lt;0, "Salah Isi", IF(E63&lt;=4, E63, "Salah Isi"))</f>
        <v>3</v>
      </c>
      <c r="F69" s="77"/>
      <c r="G69" s="153"/>
      <c r="H69" s="83"/>
      <c r="I69" s="77"/>
      <c r="J69" s="77"/>
      <c r="K69" s="79"/>
      <c r="L69" s="77"/>
      <c r="M69" s="14"/>
      <c r="N69" s="62"/>
      <c r="O69" s="14"/>
      <c r="P69" s="14"/>
      <c r="Q69" s="14"/>
    </row>
    <row r="70" spans="1:17" s="25" customFormat="1" ht="19.5" thickBot="1" x14ac:dyDescent="0.35">
      <c r="A70" s="122"/>
      <c r="B70" s="122"/>
      <c r="C70" s="204"/>
      <c r="D70" s="204"/>
      <c r="E70" s="77"/>
      <c r="F70" s="77"/>
      <c r="G70" s="153"/>
      <c r="H70" s="83"/>
      <c r="I70" s="77"/>
      <c r="J70" s="77"/>
      <c r="K70" s="79"/>
      <c r="L70" s="77"/>
      <c r="M70" s="14"/>
      <c r="N70" s="62"/>
      <c r="O70" s="14"/>
      <c r="P70" s="14"/>
      <c r="Q70" s="14"/>
    </row>
    <row r="71" spans="1:17" s="25" customFormat="1" ht="19.5" thickBot="1" x14ac:dyDescent="0.35">
      <c r="A71" s="126">
        <v>10</v>
      </c>
      <c r="B71" s="126" t="s">
        <v>15</v>
      </c>
      <c r="C71" s="534" t="s">
        <v>618</v>
      </c>
      <c r="D71" s="535"/>
      <c r="E71" s="162"/>
      <c r="F71" s="77"/>
      <c r="G71" s="152" t="str">
        <f>("Jumlah calon yang ikut seleksi = "&amp;E72&amp;","&amp;"daya tampung PS = "&amp;E73&amp;". "&amp;C71&amp;" = "&amp;TEXT(E74,"0,00"))</f>
        <v>Jumlah calon yang ikut seleksi = 212,daya tampung PS = 200. Rasio calon mahasiswa yang ikut seleksi : daya tampung  = 001</v>
      </c>
      <c r="H71" s="83"/>
      <c r="I71" s="77"/>
      <c r="J71" s="77"/>
      <c r="K71" s="79"/>
      <c r="L71" s="77"/>
      <c r="M71" s="14"/>
      <c r="N71" s="62"/>
      <c r="O71" s="14"/>
      <c r="P71" s="14"/>
      <c r="Q71" s="14"/>
    </row>
    <row r="72" spans="1:17" x14ac:dyDescent="0.25">
      <c r="C72" s="188" t="s">
        <v>515</v>
      </c>
      <c r="D72" s="189"/>
      <c r="E72" s="163">
        <v>212</v>
      </c>
      <c r="F72" s="77"/>
      <c r="G72" s="155"/>
    </row>
    <row r="73" spans="1:17" x14ac:dyDescent="0.25">
      <c r="A73" s="126"/>
      <c r="B73" s="126"/>
      <c r="C73" s="188" t="s">
        <v>516</v>
      </c>
      <c r="D73" s="189"/>
      <c r="E73" s="163">
        <v>200</v>
      </c>
      <c r="F73" s="77"/>
      <c r="G73" s="155"/>
    </row>
    <row r="74" spans="1:17" ht="15.75" customHeight="1" x14ac:dyDescent="0.25">
      <c r="A74" s="126"/>
      <c r="B74" s="126"/>
      <c r="C74" s="504" t="s">
        <v>390</v>
      </c>
      <c r="D74" s="505"/>
      <c r="E74" s="164">
        <f>(E72/E73)</f>
        <v>1.06</v>
      </c>
      <c r="F74" s="77"/>
      <c r="G74" s="155"/>
    </row>
    <row r="75" spans="1:17" ht="15.75" thickBot="1" x14ac:dyDescent="0.3">
      <c r="A75" s="126"/>
      <c r="B75" s="126"/>
      <c r="C75" s="502" t="s">
        <v>311</v>
      </c>
      <c r="D75" s="503"/>
      <c r="E75" s="144">
        <f>IF(E74&gt;=5,4,IF(E74&gt;1, (3+E74)/2,2*E74))</f>
        <v>2.0300000000000002</v>
      </c>
      <c r="F75" s="77"/>
      <c r="G75" s="155"/>
      <c r="N75" s="63"/>
    </row>
    <row r="76" spans="1:17" ht="15.75" thickBot="1" x14ac:dyDescent="0.3">
      <c r="A76" s="126"/>
      <c r="B76" s="126"/>
      <c r="C76" s="204"/>
      <c r="D76" s="204"/>
      <c r="E76" s="77"/>
      <c r="F76" s="77"/>
      <c r="G76" s="155"/>
      <c r="N76" s="548"/>
      <c r="O76" s="548"/>
      <c r="P76" s="548"/>
    </row>
    <row r="77" spans="1:17" s="25" customFormat="1" ht="28.5" customHeight="1" thickBot="1" x14ac:dyDescent="0.3">
      <c r="A77" s="126">
        <v>11</v>
      </c>
      <c r="B77" s="126" t="s">
        <v>17</v>
      </c>
      <c r="C77" s="500" t="s">
        <v>619</v>
      </c>
      <c r="D77" s="501"/>
      <c r="E77" s="162"/>
      <c r="F77" s="77"/>
      <c r="G77" s="152" t="str">
        <f>(C77&amp;" = "&amp;E78&amp;" / "&amp;E79 &amp;" = " &amp;TEXT(E80,"0,00")&amp;".")</f>
        <v>Rasio mahasiswa baru reguler yang melakukan registrasi : calon mahasiswa baru reguler yang lulus seleksi = 95 / 161 = 001.</v>
      </c>
      <c r="H77" s="4"/>
      <c r="M77" s="14"/>
      <c r="N77" s="134"/>
      <c r="O77" s="134"/>
      <c r="P77" s="134"/>
      <c r="Q77" s="14"/>
    </row>
    <row r="78" spans="1:17" ht="30.75" customHeight="1" x14ac:dyDescent="0.25">
      <c r="C78" s="532" t="s">
        <v>620</v>
      </c>
      <c r="D78" s="533"/>
      <c r="E78" s="163">
        <v>95</v>
      </c>
      <c r="F78" s="77"/>
      <c r="G78" s="155"/>
      <c r="P78" s="60"/>
    </row>
    <row r="79" spans="1:17" ht="18.75" x14ac:dyDescent="0.3">
      <c r="A79" s="126"/>
      <c r="B79" s="126"/>
      <c r="C79" s="205" t="s">
        <v>517</v>
      </c>
      <c r="D79" s="189"/>
      <c r="E79" s="163">
        <v>161</v>
      </c>
      <c r="F79" s="77"/>
      <c r="G79" s="155"/>
      <c r="O79" s="62"/>
      <c r="P79" s="62"/>
    </row>
    <row r="80" spans="1:17" ht="18.75" x14ac:dyDescent="0.3">
      <c r="A80" s="126"/>
      <c r="B80" s="126"/>
      <c r="C80" s="504" t="s">
        <v>391</v>
      </c>
      <c r="D80" s="505"/>
      <c r="E80" s="356">
        <f>(E78/E79)</f>
        <v>0.59006211180124224</v>
      </c>
      <c r="F80" s="77"/>
      <c r="G80" s="155"/>
      <c r="P80" s="62"/>
    </row>
    <row r="81" spans="1:17" ht="19.5" thickBot="1" x14ac:dyDescent="0.35">
      <c r="A81" s="126"/>
      <c r="B81" s="126"/>
      <c r="C81" s="502" t="s">
        <v>311</v>
      </c>
      <c r="D81" s="503"/>
      <c r="E81" s="75">
        <f>IF(E80&gt;=95%,4,IF(E80&gt;25%, (40*E80-10)/7, 0))</f>
        <v>1.9432120674356699</v>
      </c>
      <c r="F81" s="77"/>
      <c r="G81" s="155"/>
      <c r="P81" s="62"/>
    </row>
    <row r="82" spans="1:17" ht="19.5" thickBot="1" x14ac:dyDescent="0.35">
      <c r="A82" s="126"/>
      <c r="B82" s="126"/>
      <c r="C82" s="204"/>
      <c r="D82" s="204"/>
      <c r="E82" s="77"/>
      <c r="F82" s="77"/>
      <c r="G82" s="155"/>
      <c r="P82" s="62"/>
    </row>
    <row r="83" spans="1:17" s="25" customFormat="1" ht="28.5" customHeight="1" thickBot="1" x14ac:dyDescent="0.35">
      <c r="A83" s="126">
        <v>12</v>
      </c>
      <c r="B83" s="126" t="s">
        <v>19</v>
      </c>
      <c r="C83" s="500" t="s">
        <v>966</v>
      </c>
      <c r="D83" s="501"/>
      <c r="E83" s="162"/>
      <c r="F83" s="77"/>
      <c r="G83" s="152" t="str">
        <f>(C83&amp;" = "&amp;E84&amp;" / "&amp;E85&amp;" = "&amp;TEXT(E86,"0,00"))</f>
        <v>Rasio mahasiswa baru transfer terhadap mahasiswa baru bukan transfer = 34 / 95 = 000</v>
      </c>
      <c r="H83" s="4"/>
      <c r="M83" s="14"/>
      <c r="N83" s="14"/>
      <c r="O83" s="14"/>
      <c r="P83" s="62"/>
      <c r="Q83" s="14"/>
    </row>
    <row r="84" spans="1:17" ht="30.75" customHeight="1" x14ac:dyDescent="0.3">
      <c r="C84" s="549" t="s">
        <v>621</v>
      </c>
      <c r="D84" s="550"/>
      <c r="E84" s="163">
        <v>34</v>
      </c>
      <c r="F84" s="77"/>
      <c r="G84" s="155"/>
      <c r="P84" s="62"/>
    </row>
    <row r="85" spans="1:17" ht="30.75" customHeight="1" x14ac:dyDescent="0.3">
      <c r="A85" s="126"/>
      <c r="B85" s="126"/>
      <c r="C85" s="549" t="s">
        <v>622</v>
      </c>
      <c r="D85" s="550"/>
      <c r="E85" s="163">
        <v>95</v>
      </c>
      <c r="F85" s="77"/>
      <c r="G85" s="155"/>
      <c r="P85" s="62"/>
    </row>
    <row r="86" spans="1:17" ht="18.75" x14ac:dyDescent="0.3">
      <c r="A86" s="126"/>
      <c r="B86" s="126"/>
      <c r="C86" s="504" t="s">
        <v>392</v>
      </c>
      <c r="D86" s="505"/>
      <c r="E86" s="164">
        <f>(E84/E85)</f>
        <v>0.35789473684210527</v>
      </c>
      <c r="F86" s="77"/>
      <c r="G86" s="155"/>
      <c r="P86" s="62"/>
    </row>
    <row r="87" spans="1:17" ht="19.5" thickBot="1" x14ac:dyDescent="0.35">
      <c r="A87" s="126"/>
      <c r="B87" s="126"/>
      <c r="C87" s="502" t="s">
        <v>311</v>
      </c>
      <c r="D87" s="503"/>
      <c r="E87" s="144">
        <f>IF(E86&gt;=1.25, 0, IF(E86&gt;0.25, 5-4*E86, 4))</f>
        <v>3.5684210526315789</v>
      </c>
      <c r="F87" s="77"/>
      <c r="G87" s="155"/>
      <c r="P87" s="62"/>
    </row>
    <row r="88" spans="1:17" ht="19.5" thickBot="1" x14ac:dyDescent="0.35">
      <c r="A88" s="126"/>
      <c r="B88" s="126"/>
      <c r="C88" s="204"/>
      <c r="D88" s="204"/>
      <c r="E88" s="77"/>
      <c r="F88" s="77"/>
      <c r="G88" s="155"/>
      <c r="P88" s="62"/>
    </row>
    <row r="89" spans="1:17" s="25" customFormat="1" ht="19.5" thickBot="1" x14ac:dyDescent="0.35">
      <c r="A89" s="126">
        <v>13</v>
      </c>
      <c r="B89" s="126" t="s">
        <v>21</v>
      </c>
      <c r="C89" s="160" t="s">
        <v>963</v>
      </c>
      <c r="D89" s="187"/>
      <c r="E89" s="161"/>
      <c r="F89" s="77"/>
      <c r="G89" s="152" t="str">
        <f>(C89 &amp;" = "&amp;TEXT(E90,"0,00"))</f>
        <v>Rata-rata Indeks Prestasi Kumulatif (IPK) selama lima tahun terakhir = 003</v>
      </c>
      <c r="H89" s="4"/>
      <c r="M89" s="14"/>
      <c r="N89" s="14"/>
      <c r="O89" s="14"/>
      <c r="P89" s="62"/>
      <c r="Q89" s="14"/>
    </row>
    <row r="90" spans="1:17" ht="18.75" x14ac:dyDescent="0.3">
      <c r="C90" s="504" t="s">
        <v>310</v>
      </c>
      <c r="D90" s="505"/>
      <c r="E90" s="76">
        <f>(8*2.97+8*2.7+7*2.5+11*3.02)/(8+8+7+11)</f>
        <v>2.8258823529411763</v>
      </c>
      <c r="F90" s="77"/>
      <c r="G90" s="155"/>
      <c r="P90" s="62"/>
    </row>
    <row r="91" spans="1:17" ht="19.5" thickBot="1" x14ac:dyDescent="0.35">
      <c r="A91" s="126"/>
      <c r="B91" s="126"/>
      <c r="C91" s="496" t="s">
        <v>311</v>
      </c>
      <c r="D91" s="497"/>
      <c r="E91" s="75">
        <f>IF(E90&gt;4, "Salah Isi", IF(E90&gt;=3,4,IF(E90&gt;2.75, 4*E90-8, IF(E90&gt;=2,(4*E90-2)/3,0))))</f>
        <v>3.3035294117647052</v>
      </c>
      <c r="F91" s="77"/>
      <c r="G91" s="155"/>
      <c r="P91" s="62"/>
    </row>
    <row r="92" spans="1:17" ht="19.5" thickBot="1" x14ac:dyDescent="0.35">
      <c r="A92" s="126"/>
      <c r="B92" s="126"/>
      <c r="C92" s="204"/>
      <c r="D92" s="204"/>
      <c r="E92" s="77"/>
      <c r="F92" s="77"/>
      <c r="G92" s="155"/>
      <c r="P92" s="62"/>
    </row>
    <row r="93" spans="1:17" ht="19.5" thickBot="1" x14ac:dyDescent="0.35">
      <c r="A93" s="8">
        <v>14</v>
      </c>
      <c r="B93" s="8" t="s">
        <v>23</v>
      </c>
      <c r="C93" s="160" t="s">
        <v>534</v>
      </c>
      <c r="D93" s="206"/>
      <c r="E93" s="142">
        <v>0</v>
      </c>
      <c r="G93" s="152" t="s">
        <v>964</v>
      </c>
      <c r="P93" s="62"/>
    </row>
    <row r="94" spans="1:17" s="25" customFormat="1" ht="27" x14ac:dyDescent="0.3">
      <c r="A94" s="8"/>
      <c r="B94" s="8"/>
      <c r="C94" s="166">
        <v>0</v>
      </c>
      <c r="D94" s="147" t="s">
        <v>623</v>
      </c>
      <c r="E94" s="149"/>
      <c r="G94" s="155"/>
      <c r="H94" s="4"/>
      <c r="M94" s="14"/>
      <c r="N94" s="14"/>
      <c r="O94" s="14"/>
      <c r="P94" s="62"/>
      <c r="Q94" s="14"/>
    </row>
    <row r="95" spans="1:17" s="25" customFormat="1" ht="27" x14ac:dyDescent="0.3">
      <c r="A95" s="8"/>
      <c r="B95" s="8"/>
      <c r="C95" s="166">
        <v>1</v>
      </c>
      <c r="D95" s="147" t="s">
        <v>624</v>
      </c>
      <c r="E95" s="149"/>
      <c r="G95" s="155"/>
      <c r="H95" s="4"/>
      <c r="M95" s="14"/>
      <c r="N95" s="14"/>
      <c r="O95" s="14"/>
      <c r="P95" s="62"/>
      <c r="Q95" s="14"/>
    </row>
    <row r="96" spans="1:17" s="25" customFormat="1" ht="39.75" x14ac:dyDescent="0.3">
      <c r="A96" s="8"/>
      <c r="B96" s="8"/>
      <c r="C96" s="166">
        <v>2</v>
      </c>
      <c r="D96" s="147" t="s">
        <v>625</v>
      </c>
      <c r="E96" s="149"/>
      <c r="G96" s="155"/>
      <c r="H96" s="4"/>
      <c r="M96" s="14"/>
      <c r="N96" s="14"/>
      <c r="O96" s="14"/>
      <c r="P96" s="62"/>
      <c r="Q96" s="14"/>
    </row>
    <row r="97" spans="1:17" s="25" customFormat="1" ht="39.75" x14ac:dyDescent="0.3">
      <c r="A97" s="8"/>
      <c r="B97" s="8"/>
      <c r="C97" s="166">
        <v>3</v>
      </c>
      <c r="D97" s="147" t="s">
        <v>626</v>
      </c>
      <c r="E97" s="149"/>
      <c r="G97" s="155"/>
      <c r="H97" s="4"/>
      <c r="M97" s="14"/>
      <c r="N97" s="14"/>
      <c r="O97" s="14"/>
      <c r="P97" s="62"/>
      <c r="Q97" s="14"/>
    </row>
    <row r="98" spans="1:17" s="25" customFormat="1" ht="39.75" x14ac:dyDescent="0.3">
      <c r="A98" s="8"/>
      <c r="B98" s="8"/>
      <c r="C98" s="166">
        <v>4</v>
      </c>
      <c r="D98" s="147" t="s">
        <v>627</v>
      </c>
      <c r="E98" s="149"/>
      <c r="G98" s="155"/>
      <c r="H98" s="4"/>
      <c r="M98" s="14"/>
      <c r="N98" s="14"/>
      <c r="O98" s="14"/>
      <c r="P98" s="62"/>
      <c r="Q98" s="14"/>
    </row>
    <row r="99" spans="1:17" ht="19.5" thickBot="1" x14ac:dyDescent="0.35">
      <c r="A99" s="8"/>
      <c r="B99" s="8"/>
      <c r="C99" s="508" t="s">
        <v>311</v>
      </c>
      <c r="D99" s="509"/>
      <c r="E99" s="144">
        <f>IF(E93&lt;0, "Salah Isi", IF(E93&lt;=4, E93, "Salah Isi"))</f>
        <v>0</v>
      </c>
      <c r="G99" s="155"/>
      <c r="P99" s="62"/>
    </row>
    <row r="100" spans="1:17" ht="19.5" thickBot="1" x14ac:dyDescent="0.35">
      <c r="A100" s="8"/>
      <c r="B100" s="8"/>
      <c r="C100" s="138"/>
      <c r="D100" s="138"/>
      <c r="G100" s="155"/>
      <c r="P100" s="62"/>
    </row>
    <row r="101" spans="1:17" ht="27.75" customHeight="1" thickBot="1" x14ac:dyDescent="0.35">
      <c r="A101" s="8">
        <v>15</v>
      </c>
      <c r="B101" s="8" t="s">
        <v>25</v>
      </c>
      <c r="C101" s="510" t="s">
        <v>26</v>
      </c>
      <c r="D101" s="511"/>
      <c r="E101" s="142">
        <v>1</v>
      </c>
      <c r="G101" s="152" t="s">
        <v>965</v>
      </c>
      <c r="P101" s="62"/>
    </row>
    <row r="102" spans="1:17" s="25" customFormat="1" ht="18.75" x14ac:dyDescent="0.3">
      <c r="A102" s="8"/>
      <c r="B102" s="8"/>
      <c r="C102" s="166">
        <v>1</v>
      </c>
      <c r="D102" s="147" t="s">
        <v>628</v>
      </c>
      <c r="E102" s="149"/>
      <c r="G102" s="155"/>
      <c r="H102" s="4"/>
      <c r="M102" s="14"/>
      <c r="N102" s="14"/>
      <c r="O102" s="14"/>
      <c r="P102" s="62"/>
      <c r="Q102" s="14"/>
    </row>
    <row r="103" spans="1:17" s="25" customFormat="1" ht="27" x14ac:dyDescent="0.3">
      <c r="A103" s="8"/>
      <c r="B103" s="8"/>
      <c r="C103" s="166">
        <v>2</v>
      </c>
      <c r="D103" s="147" t="s">
        <v>629</v>
      </c>
      <c r="E103" s="149"/>
      <c r="G103" s="155"/>
      <c r="H103" s="4"/>
      <c r="M103" s="14"/>
      <c r="N103" s="14"/>
      <c r="O103" s="14"/>
      <c r="P103" s="62"/>
      <c r="Q103" s="14"/>
    </row>
    <row r="104" spans="1:17" s="25" customFormat="1" ht="27" x14ac:dyDescent="0.3">
      <c r="A104" s="8"/>
      <c r="B104" s="8"/>
      <c r="C104" s="166">
        <v>3</v>
      </c>
      <c r="D104" s="147" t="s">
        <v>630</v>
      </c>
      <c r="E104" s="149"/>
      <c r="G104" s="155"/>
      <c r="H104" s="4"/>
      <c r="M104" s="14"/>
      <c r="N104" s="14"/>
      <c r="O104" s="14"/>
      <c r="P104" s="62"/>
      <c r="Q104" s="14"/>
    </row>
    <row r="105" spans="1:17" s="25" customFormat="1" ht="27" x14ac:dyDescent="0.3">
      <c r="A105" s="8"/>
      <c r="B105" s="8"/>
      <c r="C105" s="166">
        <v>4</v>
      </c>
      <c r="D105" s="147" t="s">
        <v>631</v>
      </c>
      <c r="E105" s="149"/>
      <c r="G105" s="155"/>
      <c r="H105" s="4"/>
      <c r="M105" s="14"/>
      <c r="N105" s="14"/>
      <c r="O105" s="14"/>
      <c r="P105" s="62"/>
      <c r="Q105" s="14"/>
    </row>
    <row r="106" spans="1:17" ht="19.5" thickBot="1" x14ac:dyDescent="0.35">
      <c r="A106" s="8"/>
      <c r="B106" s="8"/>
      <c r="C106" s="508" t="s">
        <v>311</v>
      </c>
      <c r="D106" s="509"/>
      <c r="E106" s="144">
        <f>IF(E101&lt;0, "Salah Isi", IF(E101&lt;1, 1, IF(E101&lt;=4, E101, "Salah Isi")))</f>
        <v>1</v>
      </c>
      <c r="G106" s="155"/>
      <c r="P106" s="62"/>
    </row>
    <row r="107" spans="1:17" ht="19.5" thickBot="1" x14ac:dyDescent="0.35">
      <c r="A107" s="8"/>
      <c r="B107" s="8"/>
      <c r="C107" s="138"/>
      <c r="D107" s="138"/>
      <c r="G107" s="155"/>
      <c r="P107" s="62"/>
    </row>
    <row r="108" spans="1:17" s="25" customFormat="1" ht="19.5" thickBot="1" x14ac:dyDescent="0.35">
      <c r="A108" s="126">
        <v>16</v>
      </c>
      <c r="B108" s="126" t="s">
        <v>27</v>
      </c>
      <c r="C108" s="160" t="s">
        <v>632</v>
      </c>
      <c r="D108" s="206"/>
      <c r="E108" s="167"/>
      <c r="G108" s="152" t="str">
        <f>( C108 &amp;" = "&amp;"("&amp;E110&amp;" / "&amp;E109&amp;") x 100 = "&amp;TEXT(E111,"0,00")&amp;"%.")</f>
        <v>Persentase kelulusan tepat waktu (KTW) = (8 / 75) x 100 = 011%.</v>
      </c>
      <c r="H108" s="4"/>
      <c r="M108" s="14"/>
      <c r="N108" s="14"/>
      <c r="O108" s="14"/>
      <c r="P108" s="62"/>
      <c r="Q108" s="14"/>
    </row>
    <row r="109" spans="1:17" ht="27" x14ac:dyDescent="0.3">
      <c r="C109" s="202" t="s">
        <v>213</v>
      </c>
      <c r="D109" s="207" t="s">
        <v>634</v>
      </c>
      <c r="E109" s="163">
        <v>75</v>
      </c>
      <c r="F109" s="77"/>
      <c r="G109" s="155"/>
      <c r="P109" s="62"/>
    </row>
    <row r="110" spans="1:17" ht="18.75" x14ac:dyDescent="0.3">
      <c r="A110" s="126"/>
      <c r="B110" s="126"/>
      <c r="C110" s="202" t="s">
        <v>312</v>
      </c>
      <c r="D110" s="208" t="s">
        <v>633</v>
      </c>
      <c r="E110" s="163">
        <v>8</v>
      </c>
      <c r="F110" s="77"/>
      <c r="G110" s="155"/>
      <c r="P110" s="62"/>
    </row>
    <row r="111" spans="1:17" ht="18.75" x14ac:dyDescent="0.3">
      <c r="A111" s="126"/>
      <c r="B111" s="126"/>
      <c r="C111" s="504" t="s">
        <v>635</v>
      </c>
      <c r="D111" s="505"/>
      <c r="E111" s="164">
        <f>(E110/E109)*100</f>
        <v>10.666666666666668</v>
      </c>
      <c r="F111" s="77"/>
      <c r="G111" s="155"/>
      <c r="P111" s="62"/>
    </row>
    <row r="112" spans="1:17" ht="19.5" thickBot="1" x14ac:dyDescent="0.35">
      <c r="A112" s="126"/>
      <c r="B112" s="126"/>
      <c r="C112" s="502" t="s">
        <v>311</v>
      </c>
      <c r="D112" s="503"/>
      <c r="E112" s="144">
        <f>IF(E111&gt;=50,4,IF(E111&gt;0,1+6*E111/100,0))</f>
        <v>1.6400000000000001</v>
      </c>
      <c r="F112" s="77"/>
      <c r="G112" s="155"/>
      <c r="P112" s="62"/>
    </row>
    <row r="113" spans="1:17" ht="19.5" thickBot="1" x14ac:dyDescent="0.35">
      <c r="A113" s="126"/>
      <c r="B113" s="126"/>
      <c r="C113" s="204"/>
      <c r="D113" s="204"/>
      <c r="E113" s="77"/>
      <c r="F113" s="77"/>
      <c r="G113" s="155"/>
      <c r="P113" s="62"/>
    </row>
    <row r="114" spans="1:17" s="25" customFormat="1" ht="42.75" customHeight="1" thickBot="1" x14ac:dyDescent="0.35">
      <c r="A114" s="126">
        <v>17</v>
      </c>
      <c r="B114" s="126" t="s">
        <v>29</v>
      </c>
      <c r="C114" s="510" t="s">
        <v>637</v>
      </c>
      <c r="D114" s="511"/>
      <c r="E114" s="162"/>
      <c r="F114" s="77"/>
      <c r="G114" s="152" t="str">
        <f>("Persentase mahasiswa yang DO atau mengundurkan diri = "&amp;E115-E116-E117&amp;" / "&amp;E115&amp;" = "&amp;TEXT(E118,"0,00%"))</f>
        <v>Persentase mahasiswa yang DO atau mengundurkan diri = 13 / 82 = 016%</v>
      </c>
      <c r="H114" s="4"/>
      <c r="M114" s="14"/>
      <c r="N114" s="14"/>
      <c r="O114" s="14"/>
      <c r="P114" s="62"/>
      <c r="Q114" s="14"/>
    </row>
    <row r="115" spans="1:17" ht="27" x14ac:dyDescent="0.3">
      <c r="C115" s="202" t="s">
        <v>204</v>
      </c>
      <c r="D115" s="207" t="s">
        <v>636</v>
      </c>
      <c r="E115" s="163">
        <v>82</v>
      </c>
      <c r="F115" s="77"/>
      <c r="G115" s="155"/>
      <c r="P115" s="62"/>
    </row>
    <row r="116" spans="1:17" ht="27" x14ac:dyDescent="0.3">
      <c r="A116" s="126"/>
      <c r="B116" s="126"/>
      <c r="C116" s="202" t="s">
        <v>206</v>
      </c>
      <c r="D116" s="207" t="s">
        <v>967</v>
      </c>
      <c r="E116" s="163">
        <v>9</v>
      </c>
      <c r="F116" s="77"/>
      <c r="G116" s="155"/>
      <c r="P116" s="62"/>
    </row>
    <row r="117" spans="1:17" ht="27" x14ac:dyDescent="0.3">
      <c r="A117" s="126"/>
      <c r="B117" s="126"/>
      <c r="C117" s="202" t="s">
        <v>211</v>
      </c>
      <c r="D117" s="207" t="s">
        <v>968</v>
      </c>
      <c r="E117" s="163">
        <v>60</v>
      </c>
      <c r="F117" s="77"/>
      <c r="G117" s="155"/>
      <c r="P117" s="62"/>
    </row>
    <row r="118" spans="1:17" ht="18.75" x14ac:dyDescent="0.3">
      <c r="A118" s="126"/>
      <c r="B118" s="126"/>
      <c r="C118" s="506" t="s">
        <v>518</v>
      </c>
      <c r="D118" s="507"/>
      <c r="E118" s="164">
        <f>((((E115)-(E116)-(E117))/(E115))*100%)</f>
        <v>0.15853658536585366</v>
      </c>
      <c r="F118" s="77"/>
      <c r="G118" s="155"/>
      <c r="P118" s="62"/>
    </row>
    <row r="119" spans="1:17" ht="19.5" thickBot="1" x14ac:dyDescent="0.35">
      <c r="A119" s="126"/>
      <c r="B119" s="126"/>
      <c r="C119" s="544" t="s">
        <v>311</v>
      </c>
      <c r="D119" s="545"/>
      <c r="E119" s="144">
        <f>IF(E118&lt;=6%, 4, IF(E118&lt;45%, (180-400*E118)/39,0))</f>
        <v>2.9893683552220138</v>
      </c>
      <c r="F119" s="77"/>
      <c r="G119" s="155"/>
      <c r="P119" s="62"/>
    </row>
    <row r="120" spans="1:17" ht="19.5" thickBot="1" x14ac:dyDescent="0.35">
      <c r="A120" s="8"/>
      <c r="B120" s="8"/>
      <c r="C120" s="138"/>
      <c r="D120" s="138"/>
      <c r="G120" s="155"/>
      <c r="P120" s="62"/>
    </row>
    <row r="121" spans="1:17" ht="60.75" customHeight="1" thickBot="1" x14ac:dyDescent="0.35">
      <c r="A121" s="8">
        <v>18</v>
      </c>
      <c r="B121" s="8" t="s">
        <v>31</v>
      </c>
      <c r="C121" s="510" t="s">
        <v>643</v>
      </c>
      <c r="D121" s="511"/>
      <c r="E121" s="142">
        <v>3.5</v>
      </c>
      <c r="G121" s="152" t="s">
        <v>969</v>
      </c>
      <c r="P121" s="62"/>
    </row>
    <row r="122" spans="1:17" s="25" customFormat="1" ht="18.75" x14ac:dyDescent="0.3">
      <c r="A122" s="8"/>
      <c r="B122" s="8"/>
      <c r="C122" s="166">
        <v>0</v>
      </c>
      <c r="D122" s="147" t="s">
        <v>638</v>
      </c>
      <c r="E122" s="149"/>
      <c r="G122" s="155"/>
      <c r="H122" s="4"/>
      <c r="M122" s="14"/>
      <c r="N122" s="14"/>
      <c r="O122" s="14"/>
      <c r="P122" s="62"/>
      <c r="Q122" s="14"/>
    </row>
    <row r="123" spans="1:17" s="25" customFormat="1" ht="18.75" x14ac:dyDescent="0.3">
      <c r="A123" s="8"/>
      <c r="B123" s="8"/>
      <c r="C123" s="166">
        <v>1</v>
      </c>
      <c r="D123" s="147" t="s">
        <v>639</v>
      </c>
      <c r="E123" s="149"/>
      <c r="G123" s="155"/>
      <c r="H123" s="4"/>
      <c r="M123" s="14"/>
      <c r="N123" s="14"/>
      <c r="O123" s="14"/>
      <c r="P123" s="62"/>
      <c r="Q123" s="14"/>
    </row>
    <row r="124" spans="1:17" s="25" customFormat="1" ht="18.75" x14ac:dyDescent="0.3">
      <c r="A124" s="8"/>
      <c r="B124" s="8"/>
      <c r="C124" s="166">
        <v>2</v>
      </c>
      <c r="D124" s="147" t="s">
        <v>640</v>
      </c>
      <c r="E124" s="149"/>
      <c r="G124" s="155"/>
      <c r="H124" s="4"/>
      <c r="M124" s="14"/>
      <c r="N124" s="14"/>
      <c r="O124" s="14"/>
      <c r="P124" s="62"/>
      <c r="Q124" s="14"/>
    </row>
    <row r="125" spans="1:17" s="25" customFormat="1" ht="18.75" x14ac:dyDescent="0.3">
      <c r="A125" s="8"/>
      <c r="B125" s="8"/>
      <c r="C125" s="166">
        <v>3</v>
      </c>
      <c r="D125" s="147" t="s">
        <v>641</v>
      </c>
      <c r="E125" s="149"/>
      <c r="G125" s="155"/>
      <c r="H125" s="4"/>
      <c r="M125" s="14"/>
      <c r="N125" s="14"/>
      <c r="O125" s="14"/>
      <c r="P125" s="62"/>
      <c r="Q125" s="14"/>
    </row>
    <row r="126" spans="1:17" s="25" customFormat="1" ht="27" x14ac:dyDescent="0.3">
      <c r="A126" s="8"/>
      <c r="B126" s="8"/>
      <c r="C126" s="166">
        <v>4</v>
      </c>
      <c r="D126" s="147" t="s">
        <v>642</v>
      </c>
      <c r="E126" s="149"/>
      <c r="G126" s="155"/>
      <c r="H126" s="4"/>
      <c r="M126" s="14"/>
      <c r="N126" s="14"/>
      <c r="O126" s="14"/>
      <c r="P126" s="62"/>
      <c r="Q126" s="14"/>
    </row>
    <row r="127" spans="1:17" ht="19.5" thickBot="1" x14ac:dyDescent="0.35">
      <c r="A127" s="8"/>
      <c r="B127" s="8"/>
      <c r="C127" s="209" t="s">
        <v>311</v>
      </c>
      <c r="D127" s="210"/>
      <c r="E127" s="144">
        <f>IF(E121&lt;0, "Salah Isi", IF(E121&lt;=4, E121, "Salah Isi"))</f>
        <v>3.5</v>
      </c>
      <c r="G127" s="155"/>
      <c r="P127" s="62"/>
    </row>
    <row r="128" spans="1:17" ht="19.5" thickBot="1" x14ac:dyDescent="0.35">
      <c r="A128" s="8"/>
      <c r="B128" s="8"/>
      <c r="C128" s="138"/>
      <c r="D128" s="138"/>
      <c r="G128" s="155"/>
      <c r="P128" s="62"/>
    </row>
    <row r="129" spans="1:17" ht="45" customHeight="1" thickBot="1" x14ac:dyDescent="0.35">
      <c r="A129" s="126">
        <v>19</v>
      </c>
      <c r="B129" s="126" t="s">
        <v>33</v>
      </c>
      <c r="C129" s="514" t="s">
        <v>644</v>
      </c>
      <c r="D129" s="515"/>
      <c r="E129" s="142">
        <v>13</v>
      </c>
      <c r="F129" s="126" t="str">
        <f>IF(E129&gt;20, "Salah", "Benar")</f>
        <v>Benar</v>
      </c>
      <c r="G129" s="152" t="s">
        <v>970</v>
      </c>
      <c r="M129" s="60"/>
      <c r="P129" s="62"/>
    </row>
    <row r="130" spans="1:17" ht="18.75" x14ac:dyDescent="0.3">
      <c r="A130" s="126"/>
      <c r="B130" s="126"/>
      <c r="C130" s="542" t="s">
        <v>313</v>
      </c>
      <c r="D130" s="543"/>
      <c r="E130" s="164">
        <f>IF(E129&gt;=20, 4, E129/5)</f>
        <v>2.6</v>
      </c>
      <c r="F130" s="77"/>
      <c r="G130" s="155"/>
      <c r="M130" s="60"/>
      <c r="P130" s="62"/>
    </row>
    <row r="131" spans="1:17" ht="19.5" thickBot="1" x14ac:dyDescent="0.35">
      <c r="A131" s="126"/>
      <c r="B131" s="126"/>
      <c r="C131" s="526" t="s">
        <v>311</v>
      </c>
      <c r="D131" s="527"/>
      <c r="E131" s="144">
        <f>IF(E129&gt;20,"Salah Isi", E130)</f>
        <v>2.6</v>
      </c>
      <c r="F131" s="77"/>
      <c r="G131" s="155"/>
      <c r="P131" s="62"/>
    </row>
    <row r="132" spans="1:17" ht="19.5" thickBot="1" x14ac:dyDescent="0.35">
      <c r="A132" s="8"/>
      <c r="B132" s="8"/>
      <c r="C132" s="138"/>
      <c r="D132" s="138"/>
      <c r="G132" s="155"/>
      <c r="P132" s="62"/>
    </row>
    <row r="133" spans="1:17" ht="19.5" thickBot="1" x14ac:dyDescent="0.35">
      <c r="A133" s="8">
        <v>20</v>
      </c>
      <c r="B133" s="8" t="s">
        <v>35</v>
      </c>
      <c r="C133" s="160" t="s">
        <v>36</v>
      </c>
      <c r="D133" s="206"/>
      <c r="E133" s="146">
        <v>1</v>
      </c>
      <c r="G133" s="152" t="s">
        <v>971</v>
      </c>
      <c r="P133" s="62"/>
    </row>
    <row r="134" spans="1:17" s="25" customFormat="1" ht="18.75" x14ac:dyDescent="0.3">
      <c r="A134" s="8"/>
      <c r="B134" s="8"/>
      <c r="C134" s="166">
        <v>0</v>
      </c>
      <c r="D134" s="147" t="s">
        <v>645</v>
      </c>
      <c r="E134" s="148"/>
      <c r="G134" s="155"/>
      <c r="H134" s="4"/>
      <c r="M134" s="14"/>
      <c r="N134" s="14"/>
      <c r="O134" s="14"/>
      <c r="P134" s="62"/>
      <c r="Q134" s="14"/>
    </row>
    <row r="135" spans="1:17" s="25" customFormat="1" ht="27" x14ac:dyDescent="0.3">
      <c r="A135" s="8"/>
      <c r="B135" s="8"/>
      <c r="C135" s="166">
        <v>1</v>
      </c>
      <c r="D135" s="147" t="s">
        <v>647</v>
      </c>
      <c r="E135" s="148"/>
      <c r="G135" s="155"/>
      <c r="H135" s="4"/>
      <c r="M135" s="14"/>
      <c r="N135" s="14"/>
      <c r="O135" s="14"/>
      <c r="P135" s="62"/>
      <c r="Q135" s="14"/>
    </row>
    <row r="136" spans="1:17" s="25" customFormat="1" ht="16.5" customHeight="1" x14ac:dyDescent="0.3">
      <c r="A136" s="8"/>
      <c r="B136" s="8"/>
      <c r="C136" s="166">
        <v>2</v>
      </c>
      <c r="D136" s="168" t="s">
        <v>646</v>
      </c>
      <c r="E136" s="148"/>
      <c r="G136" s="155"/>
      <c r="H136" s="4"/>
      <c r="M136" s="14"/>
      <c r="N136" s="14"/>
      <c r="O136" s="14"/>
      <c r="P136" s="62"/>
      <c r="Q136" s="14"/>
    </row>
    <row r="137" spans="1:17" s="25" customFormat="1" ht="27" x14ac:dyDescent="0.3">
      <c r="A137" s="8"/>
      <c r="B137" s="8"/>
      <c r="C137" s="166">
        <v>3</v>
      </c>
      <c r="D137" s="147" t="s">
        <v>648</v>
      </c>
      <c r="E137" s="148"/>
      <c r="G137" s="155"/>
      <c r="H137" s="4"/>
      <c r="M137" s="14"/>
      <c r="N137" s="14"/>
      <c r="O137" s="14"/>
      <c r="P137" s="62"/>
      <c r="Q137" s="14"/>
    </row>
    <row r="138" spans="1:17" s="25" customFormat="1" ht="27" x14ac:dyDescent="0.3">
      <c r="A138" s="8"/>
      <c r="B138" s="8"/>
      <c r="C138" s="166">
        <v>4</v>
      </c>
      <c r="D138" s="147" t="s">
        <v>649</v>
      </c>
      <c r="E138" s="148"/>
      <c r="G138" s="155"/>
      <c r="H138" s="4"/>
      <c r="M138" s="14"/>
      <c r="N138" s="14"/>
      <c r="O138" s="14"/>
      <c r="P138" s="62"/>
      <c r="Q138" s="14"/>
    </row>
    <row r="139" spans="1:17" ht="19.5" thickBot="1" x14ac:dyDescent="0.35">
      <c r="A139" s="8"/>
      <c r="B139" s="8"/>
      <c r="C139" s="508" t="s">
        <v>311</v>
      </c>
      <c r="D139" s="509"/>
      <c r="E139" s="143">
        <f>IF(E133&lt;0, "Salah Isi", IF(E133&lt;=4, E133, "Salah Isi"))</f>
        <v>1</v>
      </c>
      <c r="G139" s="155"/>
      <c r="P139" s="62"/>
    </row>
    <row r="140" spans="1:17" ht="19.5" thickBot="1" x14ac:dyDescent="0.35">
      <c r="A140" s="8"/>
      <c r="B140" s="8"/>
      <c r="C140" s="138"/>
      <c r="D140" s="138"/>
      <c r="G140" s="155"/>
      <c r="P140" s="62"/>
    </row>
    <row r="141" spans="1:17" ht="19.5" thickBot="1" x14ac:dyDescent="0.35">
      <c r="A141" s="8">
        <v>21</v>
      </c>
      <c r="B141" s="8" t="s">
        <v>37</v>
      </c>
      <c r="C141" s="160" t="s">
        <v>650</v>
      </c>
      <c r="D141" s="206"/>
      <c r="E141" s="142">
        <v>1</v>
      </c>
      <c r="G141" s="152" t="s">
        <v>972</v>
      </c>
      <c r="P141" s="62"/>
    </row>
    <row r="142" spans="1:17" s="25" customFormat="1" ht="18.75" x14ac:dyDescent="0.3">
      <c r="A142" s="8"/>
      <c r="B142" s="8"/>
      <c r="C142" s="166">
        <v>0</v>
      </c>
      <c r="D142" s="123" t="s">
        <v>651</v>
      </c>
      <c r="E142" s="149"/>
      <c r="G142" s="155"/>
      <c r="H142" s="4"/>
      <c r="M142" s="14"/>
      <c r="N142" s="14"/>
      <c r="O142" s="14"/>
      <c r="P142" s="62"/>
      <c r="Q142" s="14"/>
    </row>
    <row r="143" spans="1:17" s="25" customFormat="1" ht="18.75" x14ac:dyDescent="0.3">
      <c r="A143" s="8"/>
      <c r="B143" s="8"/>
      <c r="C143" s="166">
        <v>1</v>
      </c>
      <c r="D143" s="123" t="s">
        <v>652</v>
      </c>
      <c r="E143" s="149"/>
      <c r="G143" s="155"/>
      <c r="H143" s="4"/>
      <c r="M143" s="14"/>
      <c r="N143" s="14"/>
      <c r="O143" s="14"/>
      <c r="P143" s="62"/>
      <c r="Q143" s="14"/>
    </row>
    <row r="144" spans="1:17" s="25" customFormat="1" ht="18.75" x14ac:dyDescent="0.3">
      <c r="A144" s="8"/>
      <c r="B144" s="8"/>
      <c r="C144" s="166">
        <v>2</v>
      </c>
      <c r="D144" s="123" t="s">
        <v>653</v>
      </c>
      <c r="E144" s="149"/>
      <c r="G144" s="155"/>
      <c r="H144" s="4"/>
      <c r="M144" s="14"/>
      <c r="N144" s="14"/>
      <c r="O144" s="14"/>
      <c r="P144" s="62"/>
      <c r="Q144" s="14"/>
    </row>
    <row r="145" spans="1:17" s="25" customFormat="1" ht="18.75" x14ac:dyDescent="0.3">
      <c r="A145" s="8"/>
      <c r="B145" s="8"/>
      <c r="C145" s="166">
        <v>3</v>
      </c>
      <c r="D145" s="123" t="s">
        <v>654</v>
      </c>
      <c r="E145" s="149"/>
      <c r="G145" s="155"/>
      <c r="H145" s="4"/>
      <c r="M145" s="14"/>
      <c r="N145" s="14"/>
      <c r="O145" s="14"/>
      <c r="P145" s="62"/>
      <c r="Q145" s="14"/>
    </row>
    <row r="146" spans="1:17" s="25" customFormat="1" ht="18.75" x14ac:dyDescent="0.3">
      <c r="A146" s="8"/>
      <c r="B146" s="8"/>
      <c r="C146" s="166">
        <v>4</v>
      </c>
      <c r="D146" s="123" t="s">
        <v>655</v>
      </c>
      <c r="E146" s="149"/>
      <c r="G146" s="155"/>
      <c r="H146" s="4"/>
      <c r="M146" s="14"/>
      <c r="N146" s="14"/>
      <c r="O146" s="14"/>
      <c r="P146" s="62"/>
      <c r="Q146" s="14"/>
    </row>
    <row r="147" spans="1:17" ht="19.5" thickBot="1" x14ac:dyDescent="0.35">
      <c r="A147" s="8"/>
      <c r="B147" s="8"/>
      <c r="C147" s="508" t="s">
        <v>311</v>
      </c>
      <c r="D147" s="509"/>
      <c r="E147" s="144">
        <f>IF(E141&lt;0, "Salah Isi", IF(E141&lt;=4, E141, "Salah Isi"))</f>
        <v>1</v>
      </c>
      <c r="G147" s="155"/>
      <c r="P147" s="62"/>
    </row>
    <row r="148" spans="1:17" ht="19.5" thickBot="1" x14ac:dyDescent="0.35">
      <c r="A148" s="8"/>
      <c r="B148" s="8"/>
      <c r="C148" s="138"/>
      <c r="D148" s="138"/>
      <c r="G148" s="155"/>
      <c r="P148" s="62"/>
    </row>
    <row r="149" spans="1:17" s="25" customFormat="1" ht="43.5" customHeight="1" thickBot="1" x14ac:dyDescent="0.35">
      <c r="A149" s="126">
        <v>22</v>
      </c>
      <c r="B149" s="126" t="s">
        <v>39</v>
      </c>
      <c r="C149" s="500" t="s">
        <v>660</v>
      </c>
      <c r="D149" s="501"/>
      <c r="E149" s="167"/>
      <c r="G149" s="152" t="str">
        <f>(" Pendapat pengguna terhadap kualitas alumni."&amp;"Respon sangat baik = "&amp;TEXT(E150/7,"0,00%")&amp;", respon baik = "&amp;TEXT(E151/7,"0,00%")&amp;", respon cukup = "&amp;TEXT(E152/7,"0,00%")&amp;", dan respon kurang = "&amp;TEXT(E153,"0,00%")&amp;".")</f>
        <v xml:space="preserve"> Pendapat pengguna terhadap kualitas alumni.Respon sangat baik = 071%, respon baik = 014%, respon cukup = 014%, dan respon kurang = 000%.</v>
      </c>
      <c r="H149" s="4"/>
      <c r="M149" s="14"/>
      <c r="N149" s="14"/>
      <c r="O149" s="14"/>
      <c r="P149" s="62"/>
      <c r="Q149" s="14"/>
    </row>
    <row r="150" spans="1:17" ht="27" customHeight="1" x14ac:dyDescent="0.3">
      <c r="C150" s="166" t="s">
        <v>204</v>
      </c>
      <c r="D150" s="211" t="s">
        <v>656</v>
      </c>
      <c r="E150" s="270">
        <v>5</v>
      </c>
      <c r="F150" s="77"/>
      <c r="G150" s="155"/>
      <c r="P150" s="62"/>
    </row>
    <row r="151" spans="1:17" ht="18.75" customHeight="1" x14ac:dyDescent="0.3">
      <c r="A151" s="126"/>
      <c r="B151" s="126"/>
      <c r="C151" s="166" t="s">
        <v>206</v>
      </c>
      <c r="D151" s="211" t="s">
        <v>657</v>
      </c>
      <c r="E151" s="270">
        <v>1</v>
      </c>
      <c r="F151" s="77"/>
      <c r="G151" s="155"/>
      <c r="P151" s="62"/>
    </row>
    <row r="152" spans="1:17" ht="19.5" customHeight="1" x14ac:dyDescent="0.3">
      <c r="A152" s="126"/>
      <c r="B152" s="126"/>
      <c r="C152" s="166" t="s">
        <v>211</v>
      </c>
      <c r="D152" s="211" t="s">
        <v>658</v>
      </c>
      <c r="E152" s="270">
        <v>1</v>
      </c>
      <c r="F152" s="77"/>
      <c r="G152" s="155"/>
      <c r="P152" s="62"/>
    </row>
    <row r="153" spans="1:17" ht="27" customHeight="1" x14ac:dyDescent="0.3">
      <c r="A153" s="126"/>
      <c r="B153" s="126"/>
      <c r="C153" s="212" t="s">
        <v>213</v>
      </c>
      <c r="D153" s="211" t="s">
        <v>659</v>
      </c>
      <c r="E153" s="270">
        <v>0</v>
      </c>
      <c r="F153" s="77"/>
      <c r="G153" s="155"/>
      <c r="P153" s="62"/>
    </row>
    <row r="154" spans="1:17" ht="18.75" x14ac:dyDescent="0.3">
      <c r="A154" s="126"/>
      <c r="B154" s="126"/>
      <c r="C154" s="506" t="s">
        <v>519</v>
      </c>
      <c r="D154" s="507"/>
      <c r="E154" s="164">
        <f>IF((E150+E151+E152+E153)&gt;7,"Salah Isi",((4*E150)+(3*E151)+(2*E152)+(E153))/7)</f>
        <v>3.5714285714285716</v>
      </c>
      <c r="F154" s="77"/>
      <c r="G154" s="155"/>
      <c r="P154" s="62"/>
    </row>
    <row r="155" spans="1:17" ht="19.5" thickBot="1" x14ac:dyDescent="0.35">
      <c r="A155" s="126"/>
      <c r="B155" s="126"/>
      <c r="C155" s="502" t="s">
        <v>311</v>
      </c>
      <c r="D155" s="503"/>
      <c r="E155" s="144">
        <f>E154</f>
        <v>3.5714285714285716</v>
      </c>
      <c r="F155" s="77"/>
      <c r="G155" s="155"/>
      <c r="P155" s="62"/>
    </row>
    <row r="156" spans="1:17" ht="19.5" thickBot="1" x14ac:dyDescent="0.35">
      <c r="A156" s="126"/>
      <c r="B156" s="126"/>
      <c r="C156" s="204"/>
      <c r="D156" s="204"/>
      <c r="E156" s="77"/>
      <c r="F156" s="77"/>
      <c r="G156" s="155"/>
      <c r="P156" s="62"/>
    </row>
    <row r="157" spans="1:17" ht="19.5" thickBot="1" x14ac:dyDescent="0.35">
      <c r="A157" s="126">
        <v>23</v>
      </c>
      <c r="B157" s="126" t="s">
        <v>41</v>
      </c>
      <c r="C157" s="524" t="s">
        <v>520</v>
      </c>
      <c r="D157" s="525"/>
      <c r="E157" s="142">
        <v>6</v>
      </c>
      <c r="F157" s="77" t="s">
        <v>661</v>
      </c>
      <c r="G157" s="152" t="str">
        <f>("Rata-rata waktu tunggu lulusan untuk memperoleh pekerjaan yang pertama = "&amp;E157&amp;" bulan.")</f>
        <v>Rata-rata waktu tunggu lulusan untuk memperoleh pekerjaan yang pertama = 6 bulan.</v>
      </c>
      <c r="P157" s="62"/>
    </row>
    <row r="158" spans="1:17" ht="19.5" thickBot="1" x14ac:dyDescent="0.35">
      <c r="A158" s="126"/>
      <c r="B158" s="126"/>
      <c r="C158" s="536" t="s">
        <v>311</v>
      </c>
      <c r="D158" s="537"/>
      <c r="E158" s="144">
        <f>IF(E157&lt;=3,4,IF(E157&lt;18, (72-4*E157)/15,0))</f>
        <v>3.2</v>
      </c>
      <c r="F158" s="77"/>
      <c r="G158" s="155"/>
      <c r="P158" s="62"/>
    </row>
    <row r="159" spans="1:17" ht="19.5" thickBot="1" x14ac:dyDescent="0.35">
      <c r="A159" s="126"/>
      <c r="B159" s="126"/>
      <c r="C159" s="204"/>
      <c r="D159" s="204"/>
      <c r="E159" s="77"/>
      <c r="F159" s="77"/>
      <c r="G159" s="155"/>
      <c r="P159" s="62"/>
    </row>
    <row r="160" spans="1:17" ht="32.25" customHeight="1" thickBot="1" x14ac:dyDescent="0.35">
      <c r="A160" s="126">
        <v>24</v>
      </c>
      <c r="B160" s="126" t="s">
        <v>43</v>
      </c>
      <c r="C160" s="528" t="s">
        <v>662</v>
      </c>
      <c r="D160" s="529"/>
      <c r="E160" s="142">
        <v>0.85</v>
      </c>
      <c r="F160" s="126" t="str">
        <f>IF(E160&lt;0,"Salah",IF(E160&lt;=1,"Benar","Salah"))</f>
        <v>Benar</v>
      </c>
      <c r="G160" s="152" t="str">
        <f xml:space="preserve"> ("Persentase lulusan yang bekerja sesuai dengan bidang keahliannya = "&amp;TEXT(E160,"0,00%"))</f>
        <v>Persentase lulusan yang bekerja sesuai dengan bidang keahliannya = 085%</v>
      </c>
      <c r="P160" s="62"/>
    </row>
    <row r="161" spans="1:17" ht="19.5" thickBot="1" x14ac:dyDescent="0.35">
      <c r="A161" s="126"/>
      <c r="B161" s="126"/>
      <c r="C161" s="536" t="s">
        <v>311</v>
      </c>
      <c r="D161" s="537"/>
      <c r="E161" s="144">
        <f>IF(E160&gt;1, "Salah Isi", IF(E160&gt;=80%,4,5*E160))</f>
        <v>4</v>
      </c>
      <c r="F161" s="77"/>
      <c r="G161" s="155"/>
      <c r="P161" s="62"/>
    </row>
    <row r="162" spans="1:17" ht="19.5" thickBot="1" x14ac:dyDescent="0.35">
      <c r="A162" s="8"/>
      <c r="B162" s="8"/>
      <c r="C162" s="138"/>
      <c r="D162" s="138"/>
      <c r="G162" s="155"/>
      <c r="P162" s="62"/>
    </row>
    <row r="163" spans="1:17" ht="62.25" customHeight="1" thickBot="1" x14ac:dyDescent="0.35">
      <c r="A163" s="8">
        <v>25</v>
      </c>
      <c r="B163" s="8" t="s">
        <v>45</v>
      </c>
      <c r="C163" s="500" t="s">
        <v>663</v>
      </c>
      <c r="D163" s="501"/>
      <c r="E163" s="142">
        <v>1</v>
      </c>
      <c r="G163" s="152" t="s">
        <v>973</v>
      </c>
      <c r="P163" s="62"/>
    </row>
    <row r="164" spans="1:17" s="25" customFormat="1" ht="15" customHeight="1" x14ac:dyDescent="0.3">
      <c r="A164" s="8"/>
      <c r="B164" s="8"/>
      <c r="C164" s="215">
        <v>0</v>
      </c>
      <c r="D164" s="123" t="s">
        <v>664</v>
      </c>
      <c r="E164" s="149"/>
      <c r="G164" s="155"/>
      <c r="H164" s="4"/>
      <c r="M164" s="14"/>
      <c r="N164" s="14"/>
      <c r="O164" s="14"/>
      <c r="P164" s="62"/>
      <c r="Q164" s="14"/>
    </row>
    <row r="165" spans="1:17" s="25" customFormat="1" ht="15" customHeight="1" x14ac:dyDescent="0.3">
      <c r="A165" s="8"/>
      <c r="B165" s="8"/>
      <c r="C165" s="215">
        <v>1</v>
      </c>
      <c r="D165" s="123" t="s">
        <v>665</v>
      </c>
      <c r="E165" s="149"/>
      <c r="G165" s="155"/>
      <c r="H165" s="4"/>
      <c r="M165" s="14"/>
      <c r="N165" s="14"/>
      <c r="O165" s="14"/>
      <c r="P165" s="62"/>
      <c r="Q165" s="14"/>
    </row>
    <row r="166" spans="1:17" s="25" customFormat="1" ht="15" customHeight="1" x14ac:dyDescent="0.3">
      <c r="A166" s="8"/>
      <c r="B166" s="8"/>
      <c r="C166" s="215">
        <v>2</v>
      </c>
      <c r="D166" s="123" t="s">
        <v>666</v>
      </c>
      <c r="E166" s="149"/>
      <c r="G166" s="155"/>
      <c r="H166" s="4"/>
      <c r="M166" s="14"/>
      <c r="N166" s="14"/>
      <c r="O166" s="14"/>
      <c r="P166" s="62"/>
      <c r="Q166" s="14"/>
    </row>
    <row r="167" spans="1:17" s="25" customFormat="1" ht="15" customHeight="1" x14ac:dyDescent="0.3">
      <c r="A167" s="8"/>
      <c r="B167" s="8"/>
      <c r="C167" s="215">
        <v>3</v>
      </c>
      <c r="D167" s="123" t="s">
        <v>667</v>
      </c>
      <c r="E167" s="149"/>
      <c r="G167" s="155"/>
      <c r="H167" s="4"/>
      <c r="M167" s="14"/>
      <c r="N167" s="14"/>
      <c r="O167" s="14"/>
      <c r="P167" s="62"/>
      <c r="Q167" s="14"/>
    </row>
    <row r="168" spans="1:17" s="25" customFormat="1" ht="15" customHeight="1" x14ac:dyDescent="0.3">
      <c r="A168" s="8"/>
      <c r="B168" s="8"/>
      <c r="C168" s="215">
        <v>4</v>
      </c>
      <c r="D168" s="123" t="s">
        <v>668</v>
      </c>
      <c r="E168" s="149"/>
      <c r="G168" s="155"/>
      <c r="H168" s="4"/>
      <c r="M168" s="14"/>
      <c r="N168" s="14"/>
      <c r="O168" s="14"/>
      <c r="P168" s="62"/>
      <c r="Q168" s="14"/>
    </row>
    <row r="169" spans="1:17" ht="19.5" thickBot="1" x14ac:dyDescent="0.35">
      <c r="A169" s="8"/>
      <c r="B169" s="8"/>
      <c r="C169" s="508" t="s">
        <v>311</v>
      </c>
      <c r="D169" s="509"/>
      <c r="E169" s="144">
        <f>IF(E163&lt;0, "Salah Isi", IF(E163&lt;=4, E163, "Salah Isi"))</f>
        <v>1</v>
      </c>
      <c r="G169" s="155"/>
      <c r="P169" s="62"/>
    </row>
    <row r="170" spans="1:17" ht="19.5" thickBot="1" x14ac:dyDescent="0.35">
      <c r="A170" s="8"/>
      <c r="B170" s="8"/>
      <c r="C170" s="138"/>
      <c r="D170" s="138"/>
      <c r="G170" s="155"/>
      <c r="P170" s="62"/>
    </row>
    <row r="171" spans="1:17" ht="62.25" customHeight="1" thickBot="1" x14ac:dyDescent="0.35">
      <c r="A171" s="8">
        <v>26</v>
      </c>
      <c r="B171" s="8" t="s">
        <v>47</v>
      </c>
      <c r="C171" s="510" t="s">
        <v>669</v>
      </c>
      <c r="D171" s="511"/>
      <c r="E171" s="142">
        <v>1</v>
      </c>
      <c r="G171" s="152" t="s">
        <v>974</v>
      </c>
      <c r="P171" s="62"/>
    </row>
    <row r="172" spans="1:17" s="25" customFormat="1" ht="16.5" customHeight="1" x14ac:dyDescent="0.3">
      <c r="A172" s="8"/>
      <c r="B172" s="8"/>
      <c r="C172" s="215">
        <v>0</v>
      </c>
      <c r="D172" s="123" t="s">
        <v>664</v>
      </c>
      <c r="E172" s="149"/>
      <c r="G172" s="155"/>
      <c r="H172" s="4"/>
      <c r="M172" s="14"/>
      <c r="N172" s="14"/>
      <c r="O172" s="14"/>
      <c r="P172" s="62"/>
      <c r="Q172" s="14"/>
    </row>
    <row r="173" spans="1:17" s="25" customFormat="1" ht="16.5" customHeight="1" x14ac:dyDescent="0.3">
      <c r="A173" s="8"/>
      <c r="B173" s="8"/>
      <c r="C173" s="215">
        <v>1</v>
      </c>
      <c r="D173" s="123" t="s">
        <v>665</v>
      </c>
      <c r="E173" s="149"/>
      <c r="G173" s="155"/>
      <c r="H173" s="4"/>
      <c r="M173" s="14"/>
      <c r="N173" s="14"/>
      <c r="O173" s="14"/>
      <c r="P173" s="62"/>
      <c r="Q173" s="14"/>
    </row>
    <row r="174" spans="1:17" s="25" customFormat="1" ht="16.5" customHeight="1" x14ac:dyDescent="0.3">
      <c r="A174" s="8"/>
      <c r="B174" s="8"/>
      <c r="C174" s="215">
        <v>2</v>
      </c>
      <c r="D174" s="123" t="s">
        <v>666</v>
      </c>
      <c r="E174" s="149"/>
      <c r="G174" s="155"/>
      <c r="H174" s="4"/>
      <c r="M174" s="14"/>
      <c r="N174" s="14"/>
      <c r="O174" s="14"/>
      <c r="P174" s="62"/>
      <c r="Q174" s="14"/>
    </row>
    <row r="175" spans="1:17" s="25" customFormat="1" ht="16.5" customHeight="1" x14ac:dyDescent="0.3">
      <c r="A175" s="8"/>
      <c r="B175" s="8"/>
      <c r="C175" s="215">
        <v>3</v>
      </c>
      <c r="D175" s="123" t="s">
        <v>667</v>
      </c>
      <c r="E175" s="149"/>
      <c r="G175" s="155"/>
      <c r="H175" s="4"/>
      <c r="M175" s="14"/>
      <c r="N175" s="14"/>
      <c r="O175" s="14"/>
      <c r="P175" s="62"/>
      <c r="Q175" s="14"/>
    </row>
    <row r="176" spans="1:17" s="25" customFormat="1" ht="16.5" customHeight="1" x14ac:dyDescent="0.3">
      <c r="A176" s="8"/>
      <c r="B176" s="8"/>
      <c r="C176" s="215">
        <v>4</v>
      </c>
      <c r="D176" s="123" t="s">
        <v>668</v>
      </c>
      <c r="E176" s="149"/>
      <c r="G176" s="155"/>
      <c r="H176" s="4"/>
      <c r="M176" s="14"/>
      <c r="N176" s="14"/>
      <c r="O176" s="14"/>
      <c r="P176" s="62"/>
      <c r="Q176" s="14"/>
    </row>
    <row r="177" spans="1:17" ht="19.5" thickBot="1" x14ac:dyDescent="0.35">
      <c r="A177" s="8"/>
      <c r="B177" s="8"/>
      <c r="C177" s="508" t="s">
        <v>311</v>
      </c>
      <c r="D177" s="509"/>
      <c r="E177" s="144">
        <f>IF(E171&lt;0, "Salah Isi", IF(E171&lt;=4, E171, "Salah Isi"))</f>
        <v>1</v>
      </c>
      <c r="G177" s="155"/>
      <c r="P177" s="62"/>
    </row>
    <row r="178" spans="1:17" ht="19.5" thickBot="1" x14ac:dyDescent="0.35">
      <c r="A178" s="8"/>
      <c r="B178" s="8"/>
      <c r="C178" s="138"/>
      <c r="D178" s="138"/>
      <c r="G178" s="155"/>
      <c r="P178" s="62"/>
    </row>
    <row r="179" spans="1:17" ht="39" customHeight="1" thickBot="1" x14ac:dyDescent="0.35">
      <c r="A179" s="8">
        <v>27</v>
      </c>
      <c r="B179" s="8" t="s">
        <v>535</v>
      </c>
      <c r="C179" s="514" t="s">
        <v>670</v>
      </c>
      <c r="D179" s="515"/>
      <c r="E179" s="142">
        <v>3</v>
      </c>
      <c r="G179" s="152" t="s">
        <v>975</v>
      </c>
      <c r="P179" s="62"/>
    </row>
    <row r="180" spans="1:17" s="25" customFormat="1" ht="15.75" customHeight="1" x14ac:dyDescent="0.3">
      <c r="A180" s="8"/>
      <c r="B180" s="8"/>
      <c r="C180" s="171">
        <v>0</v>
      </c>
      <c r="D180" s="169" t="s">
        <v>671</v>
      </c>
      <c r="E180" s="149"/>
      <c r="G180" s="155"/>
      <c r="H180" s="4"/>
      <c r="M180" s="14"/>
      <c r="N180" s="14"/>
      <c r="O180" s="14"/>
      <c r="P180" s="62"/>
      <c r="Q180" s="14"/>
    </row>
    <row r="181" spans="1:17" s="25" customFormat="1" ht="15.75" customHeight="1" x14ac:dyDescent="0.3">
      <c r="A181" s="8"/>
      <c r="B181" s="8"/>
      <c r="C181" s="171">
        <v>1</v>
      </c>
      <c r="D181" s="169" t="s">
        <v>672</v>
      </c>
      <c r="E181" s="149"/>
      <c r="G181" s="155"/>
      <c r="H181" s="4"/>
      <c r="M181" s="14"/>
      <c r="N181" s="14"/>
      <c r="O181" s="14"/>
      <c r="P181" s="62"/>
      <c r="Q181" s="14"/>
    </row>
    <row r="182" spans="1:17" s="25" customFormat="1" ht="15.75" customHeight="1" x14ac:dyDescent="0.3">
      <c r="A182" s="8"/>
      <c r="B182" s="8"/>
      <c r="C182" s="171">
        <v>2</v>
      </c>
      <c r="D182" s="169" t="s">
        <v>673</v>
      </c>
      <c r="E182" s="149"/>
      <c r="G182" s="155"/>
      <c r="H182" s="4"/>
      <c r="M182" s="14"/>
      <c r="N182" s="14"/>
      <c r="O182" s="14"/>
      <c r="P182" s="62"/>
      <c r="Q182" s="14"/>
    </row>
    <row r="183" spans="1:17" s="25" customFormat="1" ht="26.25" customHeight="1" x14ac:dyDescent="0.3">
      <c r="A183" s="8"/>
      <c r="B183" s="8"/>
      <c r="C183" s="171">
        <v>3</v>
      </c>
      <c r="D183" s="169" t="s">
        <v>674</v>
      </c>
      <c r="E183" s="149"/>
      <c r="G183" s="155"/>
      <c r="H183" s="4"/>
      <c r="M183" s="14"/>
      <c r="N183" s="14"/>
      <c r="O183" s="14"/>
      <c r="P183" s="62"/>
      <c r="Q183" s="14"/>
    </row>
    <row r="184" spans="1:17" s="25" customFormat="1" ht="29.25" customHeight="1" x14ac:dyDescent="0.3">
      <c r="A184" s="8"/>
      <c r="B184" s="8"/>
      <c r="C184" s="171">
        <v>4</v>
      </c>
      <c r="D184" s="169" t="s">
        <v>675</v>
      </c>
      <c r="E184" s="149"/>
      <c r="G184" s="155"/>
      <c r="H184" s="4"/>
      <c r="M184" s="14"/>
      <c r="N184" s="14"/>
      <c r="O184" s="14"/>
      <c r="P184" s="62"/>
      <c r="Q184" s="14"/>
    </row>
    <row r="185" spans="1:17" ht="19.5" thickBot="1" x14ac:dyDescent="0.35">
      <c r="A185" s="8"/>
      <c r="B185" s="8"/>
      <c r="C185" s="508" t="s">
        <v>311</v>
      </c>
      <c r="D185" s="509"/>
      <c r="E185" s="144">
        <f>IF(E179&lt;0, "Salah Isi", IF(E179&lt;=4, E179, "Salah Isi"))</f>
        <v>3</v>
      </c>
      <c r="G185" s="155"/>
      <c r="P185" s="62"/>
    </row>
    <row r="186" spans="1:17" ht="19.5" thickBot="1" x14ac:dyDescent="0.35">
      <c r="A186" s="8"/>
      <c r="B186" s="8"/>
      <c r="C186" s="138"/>
      <c r="D186" s="138"/>
      <c r="G186" s="155"/>
      <c r="P186" s="62"/>
    </row>
    <row r="187" spans="1:17" ht="27" customHeight="1" thickBot="1" x14ac:dyDescent="0.35">
      <c r="A187" s="8">
        <v>28</v>
      </c>
      <c r="B187" s="8" t="s">
        <v>50</v>
      </c>
      <c r="C187" s="514" t="s">
        <v>676</v>
      </c>
      <c r="D187" s="515"/>
      <c r="E187" s="142">
        <v>2</v>
      </c>
      <c r="G187" s="152" t="s">
        <v>976</v>
      </c>
      <c r="P187" s="62"/>
    </row>
    <row r="188" spans="1:17" s="25" customFormat="1" ht="15.75" customHeight="1" x14ac:dyDescent="0.3">
      <c r="A188" s="8"/>
      <c r="B188" s="8"/>
      <c r="C188" s="171">
        <v>0</v>
      </c>
      <c r="D188" s="169" t="s">
        <v>671</v>
      </c>
      <c r="E188" s="148"/>
      <c r="G188" s="155"/>
      <c r="H188" s="4"/>
      <c r="M188" s="14"/>
      <c r="N188" s="14"/>
      <c r="O188" s="14"/>
      <c r="P188" s="62"/>
      <c r="Q188" s="14"/>
    </row>
    <row r="189" spans="1:17" s="25" customFormat="1" ht="15.75" customHeight="1" x14ac:dyDescent="0.3">
      <c r="A189" s="8"/>
      <c r="B189" s="8"/>
      <c r="C189" s="171">
        <v>1</v>
      </c>
      <c r="D189" s="169" t="s">
        <v>672</v>
      </c>
      <c r="E189" s="148"/>
      <c r="G189" s="155"/>
      <c r="H189" s="4"/>
      <c r="M189" s="14"/>
      <c r="N189" s="14"/>
      <c r="O189" s="14"/>
      <c r="P189" s="62"/>
      <c r="Q189" s="14"/>
    </row>
    <row r="190" spans="1:17" s="25" customFormat="1" ht="15.75" customHeight="1" x14ac:dyDescent="0.3">
      <c r="A190" s="8"/>
      <c r="B190" s="8"/>
      <c r="C190" s="171">
        <v>2</v>
      </c>
      <c r="D190" s="169" t="s">
        <v>673</v>
      </c>
      <c r="E190" s="148"/>
      <c r="G190" s="155"/>
      <c r="H190" s="4"/>
      <c r="M190" s="14"/>
      <c r="N190" s="14"/>
      <c r="O190" s="14"/>
      <c r="P190" s="62"/>
      <c r="Q190" s="14"/>
    </row>
    <row r="191" spans="1:17" s="25" customFormat="1" ht="15.75" customHeight="1" x14ac:dyDescent="0.3">
      <c r="A191" s="8"/>
      <c r="B191" s="8"/>
      <c r="C191" s="171">
        <v>3</v>
      </c>
      <c r="D191" s="169" t="s">
        <v>674</v>
      </c>
      <c r="E191" s="148"/>
      <c r="G191" s="155"/>
      <c r="H191" s="4"/>
      <c r="M191" s="14"/>
      <c r="N191" s="14"/>
      <c r="O191" s="14"/>
      <c r="P191" s="62"/>
      <c r="Q191" s="14"/>
    </row>
    <row r="192" spans="1:17" s="25" customFormat="1" ht="15.75" customHeight="1" x14ac:dyDescent="0.3">
      <c r="A192" s="8"/>
      <c r="B192" s="8"/>
      <c r="C192" s="171">
        <v>4</v>
      </c>
      <c r="D192" s="169" t="s">
        <v>675</v>
      </c>
      <c r="E192" s="148"/>
      <c r="G192" s="155"/>
      <c r="H192" s="4"/>
      <c r="M192" s="14"/>
      <c r="N192" s="14"/>
      <c r="O192" s="14"/>
      <c r="P192" s="62"/>
      <c r="Q192" s="14"/>
    </row>
    <row r="193" spans="1:17" ht="19.5" thickBot="1" x14ac:dyDescent="0.35">
      <c r="A193" s="8"/>
      <c r="B193" s="8"/>
      <c r="C193" s="508" t="s">
        <v>311</v>
      </c>
      <c r="D193" s="509"/>
      <c r="E193" s="143">
        <f>IF(E187&lt;0, "Salah Isi", IF(E187&lt;=4, E187, "Salah Isi"))</f>
        <v>2</v>
      </c>
      <c r="G193" s="155"/>
      <c r="P193" s="62"/>
    </row>
    <row r="194" spans="1:17" ht="19.5" thickBot="1" x14ac:dyDescent="0.35">
      <c r="A194" s="8"/>
      <c r="B194" s="8"/>
      <c r="C194" s="138"/>
      <c r="D194" s="138"/>
      <c r="G194" s="155"/>
      <c r="P194" s="62"/>
    </row>
    <row r="195" spans="1:17" ht="28.5" customHeight="1" thickBot="1" x14ac:dyDescent="0.35">
      <c r="A195" s="8">
        <v>29</v>
      </c>
      <c r="B195" s="8" t="s">
        <v>52</v>
      </c>
      <c r="C195" s="514" t="s">
        <v>536</v>
      </c>
      <c r="D195" s="515"/>
      <c r="E195" s="142">
        <v>2</v>
      </c>
      <c r="G195" s="152" t="s">
        <v>977</v>
      </c>
      <c r="P195" s="62"/>
    </row>
    <row r="196" spans="1:17" s="25" customFormat="1" ht="17.25" customHeight="1" x14ac:dyDescent="0.3">
      <c r="A196" s="8"/>
      <c r="B196" s="8"/>
      <c r="C196" s="171">
        <v>0</v>
      </c>
      <c r="D196" s="172" t="s">
        <v>677</v>
      </c>
      <c r="E196" s="149"/>
      <c r="G196" s="155"/>
      <c r="H196" s="4"/>
      <c r="M196" s="14"/>
      <c r="N196" s="14"/>
      <c r="O196" s="14"/>
      <c r="P196" s="62"/>
      <c r="Q196" s="14"/>
    </row>
    <row r="197" spans="1:17" s="25" customFormat="1" ht="40.5" customHeight="1" x14ac:dyDescent="0.3">
      <c r="A197" s="8"/>
      <c r="B197" s="8"/>
      <c r="C197" s="171">
        <v>1</v>
      </c>
      <c r="D197" s="172" t="s">
        <v>678</v>
      </c>
      <c r="E197" s="149"/>
      <c r="G197" s="155"/>
      <c r="H197" s="4"/>
      <c r="M197" s="14"/>
      <c r="N197" s="14"/>
      <c r="O197" s="14"/>
      <c r="P197" s="62"/>
      <c r="Q197" s="14"/>
    </row>
    <row r="198" spans="1:17" s="25" customFormat="1" ht="40.5" customHeight="1" x14ac:dyDescent="0.3">
      <c r="A198" s="8"/>
      <c r="B198" s="8"/>
      <c r="C198" s="171">
        <v>2</v>
      </c>
      <c r="D198" s="172" t="s">
        <v>679</v>
      </c>
      <c r="E198" s="149"/>
      <c r="G198" s="155"/>
      <c r="H198" s="4"/>
      <c r="M198" s="14"/>
      <c r="N198" s="14"/>
      <c r="O198" s="14"/>
      <c r="P198" s="62"/>
      <c r="Q198" s="14"/>
    </row>
    <row r="199" spans="1:17" s="25" customFormat="1" ht="42" customHeight="1" x14ac:dyDescent="0.3">
      <c r="A199" s="8"/>
      <c r="B199" s="8"/>
      <c r="C199" s="171">
        <v>3</v>
      </c>
      <c r="D199" s="172" t="s">
        <v>680</v>
      </c>
      <c r="E199" s="149"/>
      <c r="G199" s="155"/>
      <c r="H199" s="4"/>
      <c r="M199" s="14"/>
      <c r="N199" s="14"/>
      <c r="O199" s="14"/>
      <c r="P199" s="62"/>
      <c r="Q199" s="14"/>
    </row>
    <row r="200" spans="1:17" s="25" customFormat="1" ht="41.25" customHeight="1" x14ac:dyDescent="0.3">
      <c r="A200" s="8"/>
      <c r="B200" s="8"/>
      <c r="C200" s="171">
        <v>4</v>
      </c>
      <c r="D200" s="172" t="s">
        <v>681</v>
      </c>
      <c r="E200" s="149"/>
      <c r="G200" s="155"/>
      <c r="H200" s="4"/>
      <c r="M200" s="14"/>
      <c r="N200" s="14"/>
      <c r="O200" s="14"/>
      <c r="P200" s="62"/>
      <c r="Q200" s="14"/>
    </row>
    <row r="201" spans="1:17" ht="19.5" thickBot="1" x14ac:dyDescent="0.35">
      <c r="A201" s="8"/>
      <c r="B201" s="8"/>
      <c r="C201" s="508" t="s">
        <v>311</v>
      </c>
      <c r="D201" s="509"/>
      <c r="E201" s="144">
        <f>IF(E195&lt;0, "Salah Isi", IF(E195&lt;=4, E195, "Salah Isi"))</f>
        <v>2</v>
      </c>
      <c r="G201" s="155"/>
      <c r="P201" s="62"/>
    </row>
    <row r="202" spans="1:17" ht="19.5" thickBot="1" x14ac:dyDescent="0.35">
      <c r="A202" s="8"/>
      <c r="B202" s="8"/>
      <c r="C202" s="138"/>
      <c r="D202" s="138"/>
      <c r="G202" s="155"/>
      <c r="P202" s="62"/>
    </row>
    <row r="203" spans="1:17" s="25" customFormat="1" ht="30" customHeight="1" thickBot="1" x14ac:dyDescent="0.35">
      <c r="A203" s="126">
        <v>30</v>
      </c>
      <c r="B203" s="126" t="s">
        <v>54</v>
      </c>
      <c r="C203" s="500" t="s">
        <v>682</v>
      </c>
      <c r="D203" s="501"/>
      <c r="E203" s="167"/>
      <c r="G203" s="152" t="str">
        <f>("Jumlah dosen tetap = "&amp;E204&amp;" ("&amp;E205&amp;" S1, "&amp;E206&amp;" S2, "&amp;E207&amp;" S3). "&amp;D209&amp;" = "&amp;TEXT(E209,"0,00%"))</f>
        <v>Jumlah dosen tetap = 6 (1 S1, 2 S2, 3 S3). Persentase dosen tetap berpendidikan (terakhir) S2 dan S3 yang bidang keahliannya sesuai dengan kompetensi PS = 083%</v>
      </c>
      <c r="H203" s="4"/>
      <c r="M203" s="14"/>
      <c r="N203" s="14"/>
      <c r="O203" s="14"/>
      <c r="P203" s="62"/>
      <c r="Q203" s="14"/>
    </row>
    <row r="204" spans="1:17" ht="18.75" x14ac:dyDescent="0.3">
      <c r="C204" s="188" t="s">
        <v>376</v>
      </c>
      <c r="D204" s="189"/>
      <c r="E204" s="163">
        <v>6</v>
      </c>
      <c r="F204" s="77"/>
      <c r="G204" s="155"/>
      <c r="P204" s="62"/>
    </row>
    <row r="205" spans="1:17" s="25" customFormat="1" ht="18.75" x14ac:dyDescent="0.3">
      <c r="A205" s="4"/>
      <c r="B205" s="4"/>
      <c r="C205" s="188" t="s">
        <v>978</v>
      </c>
      <c r="D205" s="189" t="s">
        <v>981</v>
      </c>
      <c r="E205" s="163">
        <v>1</v>
      </c>
      <c r="F205" s="77"/>
      <c r="G205" s="155"/>
      <c r="H205" s="4"/>
      <c r="M205" s="14"/>
      <c r="N205" s="14"/>
      <c r="O205" s="14"/>
      <c r="P205" s="62"/>
      <c r="Q205" s="14"/>
    </row>
    <row r="206" spans="1:17" s="25" customFormat="1" ht="18.75" x14ac:dyDescent="0.3">
      <c r="A206" s="4"/>
      <c r="B206" s="4"/>
      <c r="C206" s="188" t="s">
        <v>979</v>
      </c>
      <c r="D206" s="189" t="s">
        <v>982</v>
      </c>
      <c r="E206" s="163">
        <v>2</v>
      </c>
      <c r="F206" s="77"/>
      <c r="G206" s="155"/>
      <c r="H206" s="4"/>
      <c r="M206" s="14"/>
      <c r="N206" s="14"/>
      <c r="O206" s="14"/>
      <c r="P206" s="62"/>
      <c r="Q206" s="14"/>
    </row>
    <row r="207" spans="1:17" s="25" customFormat="1" ht="18.75" x14ac:dyDescent="0.3">
      <c r="A207" s="4"/>
      <c r="B207" s="4"/>
      <c r="C207" s="188" t="s">
        <v>980</v>
      </c>
      <c r="D207" s="189" t="s">
        <v>983</v>
      </c>
      <c r="E207" s="163">
        <f>E204-E205-E206</f>
        <v>3</v>
      </c>
      <c r="F207" s="77"/>
      <c r="G207" s="155"/>
      <c r="H207" s="4"/>
      <c r="M207" s="14"/>
      <c r="N207" s="14"/>
      <c r="O207" s="14"/>
      <c r="P207" s="62"/>
      <c r="Q207" s="14"/>
    </row>
    <row r="208" spans="1:17" ht="18.75" x14ac:dyDescent="0.3">
      <c r="A208" s="126"/>
      <c r="B208" s="126"/>
      <c r="C208" s="216" t="s">
        <v>393</v>
      </c>
      <c r="D208" s="217"/>
      <c r="E208" s="163">
        <f>E206+E207</f>
        <v>5</v>
      </c>
      <c r="F208" s="86"/>
      <c r="G208" s="155"/>
      <c r="P208" s="62"/>
    </row>
    <row r="209" spans="1:17" ht="25.5" x14ac:dyDescent="0.3">
      <c r="A209" s="126"/>
      <c r="B209" s="126"/>
      <c r="C209" s="202" t="s">
        <v>315</v>
      </c>
      <c r="D209" s="169" t="s">
        <v>683</v>
      </c>
      <c r="E209" s="164">
        <f>(E208/E204)*100%</f>
        <v>0.83333333333333337</v>
      </c>
      <c r="F209" s="77"/>
      <c r="G209" s="155"/>
      <c r="P209" s="62"/>
    </row>
    <row r="210" spans="1:17" ht="19.5" thickBot="1" x14ac:dyDescent="0.35">
      <c r="A210" s="126"/>
      <c r="B210" s="126"/>
      <c r="C210" s="502" t="s">
        <v>311</v>
      </c>
      <c r="D210" s="503"/>
      <c r="E210" s="144">
        <f>IF(E209&gt;=90%,4,IF(E209&gt;30%, 20*E209/3-2,0))</f>
        <v>3.5555555555555562</v>
      </c>
      <c r="F210" s="77"/>
      <c r="G210" s="155"/>
      <c r="P210" s="62"/>
    </row>
    <row r="211" spans="1:17" ht="19.5" thickBot="1" x14ac:dyDescent="0.35">
      <c r="A211" s="126"/>
      <c r="B211" s="126"/>
      <c r="C211" s="204"/>
      <c r="D211" s="204"/>
      <c r="E211" s="77"/>
      <c r="F211" s="77"/>
      <c r="G211" s="155"/>
      <c r="P211" s="62"/>
    </row>
    <row r="212" spans="1:17" s="25" customFormat="1" ht="28.5" customHeight="1" thickBot="1" x14ac:dyDescent="0.35">
      <c r="A212" s="126">
        <v>31</v>
      </c>
      <c r="B212" s="126" t="s">
        <v>56</v>
      </c>
      <c r="C212" s="500" t="s">
        <v>684</v>
      </c>
      <c r="D212" s="501"/>
      <c r="E212" s="174"/>
      <c r="F212" s="77"/>
      <c r="G212" s="152" t="str">
        <f>(D215&amp;" = ("&amp;E214&amp;" / "&amp;E213&amp;") x 100% = "&amp;TEXT(E215,"0,00%"))</f>
        <v>Persentase dosen tetap yang berpendidikan S3 yang bidang keahliannya sesuai dengan kompetensi PS = (1 / 6) x 100% = 017%</v>
      </c>
      <c r="H212" s="4"/>
      <c r="M212" s="14"/>
      <c r="N212" s="14"/>
      <c r="O212" s="14"/>
      <c r="P212" s="62"/>
      <c r="Q212" s="14"/>
    </row>
    <row r="213" spans="1:17" x14ac:dyDescent="0.25">
      <c r="C213" s="188" t="s">
        <v>401</v>
      </c>
      <c r="D213" s="189"/>
      <c r="E213" s="173">
        <f>E204</f>
        <v>6</v>
      </c>
      <c r="F213" s="77"/>
      <c r="G213" s="155"/>
      <c r="N213" s="548"/>
      <c r="O213" s="548"/>
    </row>
    <row r="214" spans="1:17" ht="20.25" customHeight="1" x14ac:dyDescent="0.25">
      <c r="A214" s="126"/>
      <c r="B214" s="126"/>
      <c r="C214" s="216" t="s">
        <v>377</v>
      </c>
      <c r="D214" s="217"/>
      <c r="E214" s="173">
        <v>1</v>
      </c>
      <c r="F214" s="86"/>
      <c r="G214" s="155"/>
      <c r="N214" s="548"/>
      <c r="O214" s="548"/>
    </row>
    <row r="215" spans="1:17" ht="26.25" x14ac:dyDescent="0.25">
      <c r="A215" s="126"/>
      <c r="B215" s="126"/>
      <c r="C215" s="202" t="s">
        <v>316</v>
      </c>
      <c r="D215" s="147" t="s">
        <v>986</v>
      </c>
      <c r="E215" s="175">
        <f>(E214/E213)*100%</f>
        <v>0.16666666666666666</v>
      </c>
      <c r="F215" s="77"/>
      <c r="G215" s="155"/>
    </row>
    <row r="216" spans="1:17" ht="15.75" thickBot="1" x14ac:dyDescent="0.3">
      <c r="A216" s="126"/>
      <c r="B216" s="126"/>
      <c r="C216" s="502" t="s">
        <v>311</v>
      </c>
      <c r="D216" s="503"/>
      <c r="E216" s="176">
        <f>IF(E215&gt;=40%,4,2+5*E215)</f>
        <v>2.833333333333333</v>
      </c>
      <c r="F216" s="77"/>
      <c r="G216" s="155"/>
    </row>
    <row r="217" spans="1:17" ht="15.75" thickBot="1" x14ac:dyDescent="0.3">
      <c r="A217" s="126"/>
      <c r="B217" s="126"/>
      <c r="C217" s="204"/>
      <c r="D217" s="204"/>
      <c r="E217" s="77"/>
      <c r="F217" s="77"/>
      <c r="G217" s="155"/>
    </row>
    <row r="218" spans="1:17" s="25" customFormat="1" ht="28.5" customHeight="1" thickBot="1" x14ac:dyDescent="0.3">
      <c r="A218" s="126">
        <v>32</v>
      </c>
      <c r="B218" s="126" t="s">
        <v>58</v>
      </c>
      <c r="C218" s="500" t="s">
        <v>685</v>
      </c>
      <c r="D218" s="501"/>
      <c r="E218" s="174"/>
      <c r="F218" s="77"/>
      <c r="G218" s="152" t="str">
        <f>(D221&amp;" = ("&amp;E220&amp;" / "&amp;E219&amp;") x 100% = "&amp;TEXT(E221,"0,00%"))</f>
        <v>Persentase dosen tetap yang memiliki jabatan lektor kepala dan guru besar yang bidang keahliannya sesuai dengan kompetensi PS = (2 / 6) x 100% = 033%</v>
      </c>
      <c r="H218" s="4"/>
      <c r="M218" s="14"/>
      <c r="N218" s="14"/>
      <c r="O218" s="14"/>
      <c r="P218" s="14"/>
      <c r="Q218" s="14"/>
    </row>
    <row r="219" spans="1:17" x14ac:dyDescent="0.25">
      <c r="C219" s="188" t="s">
        <v>401</v>
      </c>
      <c r="D219" s="189"/>
      <c r="E219" s="173">
        <v>6</v>
      </c>
      <c r="F219" s="77"/>
      <c r="G219" s="155"/>
    </row>
    <row r="220" spans="1:17" x14ac:dyDescent="0.25">
      <c r="A220" s="126"/>
      <c r="B220" s="126"/>
      <c r="C220" s="188" t="s">
        <v>985</v>
      </c>
      <c r="D220" s="189"/>
      <c r="E220" s="173">
        <v>2</v>
      </c>
      <c r="F220" s="77"/>
      <c r="G220" s="155"/>
    </row>
    <row r="221" spans="1:17" ht="38.25" x14ac:dyDescent="0.25">
      <c r="A221" s="126"/>
      <c r="B221" s="126"/>
      <c r="C221" s="202" t="s">
        <v>317</v>
      </c>
      <c r="D221" s="179" t="s">
        <v>984</v>
      </c>
      <c r="E221" s="175">
        <f>(E220/E219)*100%</f>
        <v>0.33333333333333331</v>
      </c>
      <c r="F221" s="77"/>
      <c r="G221" s="155"/>
    </row>
    <row r="222" spans="1:17" ht="15.75" thickBot="1" x14ac:dyDescent="0.3">
      <c r="A222" s="126"/>
      <c r="B222" s="126"/>
      <c r="C222" s="502" t="s">
        <v>311</v>
      </c>
      <c r="D222" s="503"/>
      <c r="E222" s="176">
        <f>IF(E221&gt;=40%,4,1+7.5*E221)</f>
        <v>3.5</v>
      </c>
      <c r="F222" s="77"/>
      <c r="G222" s="155"/>
    </row>
    <row r="223" spans="1:17" ht="15.75" thickBot="1" x14ac:dyDescent="0.3">
      <c r="A223" s="126"/>
      <c r="B223" s="126"/>
      <c r="C223" s="204"/>
      <c r="D223" s="204"/>
      <c r="E223" s="77"/>
      <c r="F223" s="77"/>
      <c r="G223" s="155"/>
    </row>
    <row r="224" spans="1:17" s="25" customFormat="1" ht="15.75" thickBot="1" x14ac:dyDescent="0.3">
      <c r="A224" s="126">
        <v>33</v>
      </c>
      <c r="B224" s="126" t="s">
        <v>60</v>
      </c>
      <c r="C224" s="160" t="s">
        <v>686</v>
      </c>
      <c r="D224" s="187"/>
      <c r="E224" s="174"/>
      <c r="F224" s="77"/>
      <c r="G224" s="152" t="str">
        <f>(D227&amp;" = ("&amp;E226&amp;" / "&amp;E225&amp;") x 100% = "&amp;TEXT(E227,"0,00%"))</f>
        <v>Persentase dosen yang memiliki Sertifikat Pendidik Profesional = (3 / 11) x 100% = 027%</v>
      </c>
      <c r="H224" s="4"/>
      <c r="M224" s="14"/>
      <c r="N224" s="14"/>
      <c r="O224" s="14"/>
      <c r="P224" s="14"/>
      <c r="Q224" s="14"/>
    </row>
    <row r="225" spans="1:7" x14ac:dyDescent="0.25">
      <c r="C225" s="188" t="s">
        <v>401</v>
      </c>
      <c r="D225" s="189"/>
      <c r="E225" s="173">
        <v>11</v>
      </c>
      <c r="F225" s="77"/>
      <c r="G225" s="155"/>
    </row>
    <row r="226" spans="1:7" x14ac:dyDescent="0.25">
      <c r="A226" s="126"/>
      <c r="B226" s="126"/>
      <c r="C226" s="188" t="s">
        <v>687</v>
      </c>
      <c r="D226" s="189"/>
      <c r="E226" s="173">
        <v>3</v>
      </c>
      <c r="F226" s="77"/>
      <c r="G226" s="155"/>
    </row>
    <row r="227" spans="1:7" x14ac:dyDescent="0.25">
      <c r="A227" s="126"/>
      <c r="B227" s="126"/>
      <c r="C227" s="205" t="s">
        <v>318</v>
      </c>
      <c r="D227" s="123" t="s">
        <v>688</v>
      </c>
      <c r="E227" s="175">
        <f>(E226/E225)*100%</f>
        <v>0.27272727272727271</v>
      </c>
      <c r="F227" s="77"/>
      <c r="G227" s="155"/>
    </row>
    <row r="228" spans="1:7" ht="15.75" thickBot="1" x14ac:dyDescent="0.3">
      <c r="A228" s="126"/>
      <c r="B228" s="126"/>
      <c r="C228" s="502" t="s">
        <v>311</v>
      </c>
      <c r="D228" s="503"/>
      <c r="E228" s="176">
        <f>IF(E227&gt;=40%,4,1+7.5*E227)</f>
        <v>3.0454545454545454</v>
      </c>
      <c r="F228" s="77"/>
      <c r="G228" s="155"/>
    </row>
    <row r="229" spans="1:7" x14ac:dyDescent="0.25">
      <c r="A229" s="126"/>
      <c r="B229" s="126"/>
      <c r="C229" s="204"/>
      <c r="D229" s="204"/>
      <c r="E229" s="77"/>
      <c r="F229" s="77"/>
      <c r="G229" s="155"/>
    </row>
    <row r="230" spans="1:7" x14ac:dyDescent="0.25">
      <c r="A230" s="126">
        <v>34</v>
      </c>
      <c r="B230" s="177" t="s">
        <v>375</v>
      </c>
      <c r="C230" s="218"/>
      <c r="D230" s="218"/>
      <c r="E230" s="78"/>
      <c r="F230" s="77"/>
      <c r="G230" s="155"/>
    </row>
    <row r="231" spans="1:7" ht="15.75" thickBot="1" x14ac:dyDescent="0.3">
      <c r="A231" s="126"/>
      <c r="B231" s="157"/>
      <c r="C231" s="219" t="s">
        <v>394</v>
      </c>
      <c r="D231" s="218"/>
      <c r="E231" s="78"/>
      <c r="F231" s="77"/>
      <c r="G231" s="155"/>
    </row>
    <row r="232" spans="1:7" ht="15.75" thickBot="1" x14ac:dyDescent="0.3">
      <c r="A232" s="126"/>
      <c r="B232" s="126" t="s">
        <v>62</v>
      </c>
      <c r="C232" s="186" t="s">
        <v>884</v>
      </c>
      <c r="D232" s="187"/>
      <c r="E232" s="142">
        <v>98</v>
      </c>
      <c r="F232" s="77"/>
      <c r="G232" s="152" t="str">
        <f>("Jumlah dosen tetap = "&amp;E234&amp;". "&amp;"Jumlah seluruh mahasiswa PS pada TS = "&amp;E232&amp;". "&amp; "Rasio mahasiswa terhadap dosen tetap = "&amp;TEXT(E236,"0,00"))</f>
        <v>Jumlah dosen tetap = 6. Jumlah seluruh mahasiswa PS pada TS = 98. Rasio mahasiswa terhadap dosen tetap = 016</v>
      </c>
    </row>
    <row r="233" spans="1:7" x14ac:dyDescent="0.25">
      <c r="A233" s="126"/>
      <c r="B233" s="126"/>
      <c r="C233" s="188" t="s">
        <v>885</v>
      </c>
      <c r="D233" s="189"/>
      <c r="E233" s="163">
        <v>0</v>
      </c>
      <c r="F233" s="77"/>
      <c r="G233" s="155"/>
    </row>
    <row r="234" spans="1:7" x14ac:dyDescent="0.25">
      <c r="A234" s="126"/>
      <c r="B234" s="126"/>
      <c r="C234" s="220" t="s">
        <v>886</v>
      </c>
      <c r="D234" s="221"/>
      <c r="E234" s="163">
        <v>6</v>
      </c>
      <c r="F234" s="77"/>
      <c r="G234" s="155"/>
    </row>
    <row r="235" spans="1:7" x14ac:dyDescent="0.25">
      <c r="A235" s="126"/>
      <c r="B235" s="126"/>
      <c r="C235" s="252" t="s">
        <v>887</v>
      </c>
      <c r="D235" s="222"/>
      <c r="E235" s="163">
        <v>1</v>
      </c>
      <c r="F235" s="77"/>
      <c r="G235" s="155"/>
    </row>
    <row r="236" spans="1:7" x14ac:dyDescent="0.25">
      <c r="A236" s="126"/>
      <c r="B236" s="126"/>
      <c r="C236" s="253" t="s">
        <v>888</v>
      </c>
      <c r="D236" s="208"/>
      <c r="E236" s="164">
        <f>E232/E234</f>
        <v>16.333333333333332</v>
      </c>
      <c r="F236" s="77"/>
      <c r="G236" s="155"/>
    </row>
    <row r="237" spans="1:7" x14ac:dyDescent="0.25">
      <c r="A237" s="126"/>
      <c r="B237" s="126"/>
      <c r="C237" s="188" t="s">
        <v>889</v>
      </c>
      <c r="D237" s="189"/>
      <c r="E237" s="164">
        <f>E233/E235</f>
        <v>0</v>
      </c>
      <c r="F237" s="77"/>
      <c r="G237" s="155"/>
    </row>
    <row r="238" spans="1:7" x14ac:dyDescent="0.25">
      <c r="A238" s="126"/>
      <c r="B238" s="126"/>
      <c r="C238" s="542" t="s">
        <v>890</v>
      </c>
      <c r="D238" s="543"/>
      <c r="E238" s="164">
        <f>IF(E237&lt;5, 0, IF(E237&lt;27,2*(E237-5)/11,IF(E237&lt;=33, 4, IF(E237&lt;70, 4*(70-E237)/37,0))))</f>
        <v>0</v>
      </c>
      <c r="F238" s="77"/>
      <c r="G238" s="155"/>
    </row>
    <row r="239" spans="1:7" x14ac:dyDescent="0.25">
      <c r="A239" s="126"/>
      <c r="B239" s="126"/>
      <c r="C239" s="542" t="s">
        <v>891</v>
      </c>
      <c r="D239" s="543"/>
      <c r="E239" s="271">
        <f>IF(E236&lt;17, 4*E236/17, IF(E236&lt;=23, 4, IF(E236 &lt; 60, 4*(60-E236)/37,0)))</f>
        <v>3.8431372549019605</v>
      </c>
      <c r="F239" s="77"/>
      <c r="G239" s="155"/>
    </row>
    <row r="240" spans="1:7" ht="15.75" thickBot="1" x14ac:dyDescent="0.3">
      <c r="A240" s="126"/>
      <c r="B240" s="126"/>
      <c r="C240" s="536" t="s">
        <v>311</v>
      </c>
      <c r="D240" s="537"/>
      <c r="E240" s="144">
        <f>IF(E232&gt;0,E239,E238)</f>
        <v>3.8431372549019605</v>
      </c>
      <c r="F240" s="77"/>
      <c r="G240" s="155"/>
    </row>
    <row r="241" spans="1:17" x14ac:dyDescent="0.25">
      <c r="A241" s="126"/>
      <c r="B241" s="126"/>
      <c r="C241" s="204"/>
      <c r="D241" s="204"/>
      <c r="E241" s="77"/>
      <c r="F241" s="77"/>
      <c r="G241" s="155"/>
    </row>
    <row r="242" spans="1:17" s="25" customFormat="1" ht="15.75" thickBot="1" x14ac:dyDescent="0.3">
      <c r="A242" s="126"/>
      <c r="B242" s="126"/>
      <c r="C242" s="204"/>
      <c r="D242" s="204"/>
      <c r="E242" s="77"/>
      <c r="F242" s="77"/>
      <c r="G242" s="155"/>
      <c r="H242" s="4"/>
      <c r="M242" s="14"/>
      <c r="N242" s="14"/>
      <c r="O242" s="14"/>
      <c r="P242" s="14"/>
      <c r="Q242" s="14"/>
    </row>
    <row r="243" spans="1:17" ht="27" customHeight="1" thickBot="1" x14ac:dyDescent="0.3">
      <c r="A243" s="126">
        <v>35</v>
      </c>
      <c r="B243" s="126" t="s">
        <v>64</v>
      </c>
      <c r="C243" s="510" t="s">
        <v>689</v>
      </c>
      <c r="D243" s="511"/>
      <c r="E243" s="142">
        <v>15</v>
      </c>
      <c r="F243" s="77"/>
      <c r="G243" s="152" t="str">
        <f>C243&amp;" = "&amp;E243&amp;" sks."</f>
        <v>Rata-rata beban dosen per semester, atau rata-rata FTE (Fulltime Teaching Equivalent) = 15 sks.</v>
      </c>
    </row>
    <row r="244" spans="1:17" ht="15.75" thickBot="1" x14ac:dyDescent="0.3">
      <c r="A244" s="126"/>
      <c r="B244" s="126"/>
      <c r="C244" s="223" t="s">
        <v>311</v>
      </c>
      <c r="D244" s="224"/>
      <c r="E244" s="144">
        <f>IF(E243&lt;=5, 1, IF(E243&lt;11,(E243-3)/2,IF(E243&lt;=13, 4, IF(E243&lt;21, (71-3*E243)/8, 1))))</f>
        <v>3.25</v>
      </c>
      <c r="F244" s="77"/>
      <c r="G244" s="155"/>
    </row>
    <row r="245" spans="1:17" ht="15.75" thickBot="1" x14ac:dyDescent="0.3">
      <c r="A245" s="126"/>
      <c r="B245" s="126"/>
      <c r="C245" s="204"/>
      <c r="D245" s="204"/>
      <c r="E245" s="77"/>
      <c r="F245" s="77"/>
      <c r="G245" s="155"/>
    </row>
    <row r="246" spans="1:17" ht="39" thickBot="1" x14ac:dyDescent="0.3">
      <c r="A246" s="8">
        <v>36</v>
      </c>
      <c r="B246" s="125" t="s">
        <v>65</v>
      </c>
      <c r="C246" s="500" t="s">
        <v>537</v>
      </c>
      <c r="D246" s="501"/>
      <c r="E246" s="183">
        <v>1</v>
      </c>
      <c r="G246" s="152" t="s">
        <v>987</v>
      </c>
    </row>
    <row r="247" spans="1:17" s="25" customFormat="1" ht="26.25" x14ac:dyDescent="0.25">
      <c r="A247" s="8"/>
      <c r="B247" s="181"/>
      <c r="C247" s="166">
        <v>1</v>
      </c>
      <c r="D247" s="147" t="s">
        <v>690</v>
      </c>
      <c r="E247" s="184"/>
      <c r="G247" s="182"/>
      <c r="H247" s="4"/>
      <c r="M247" s="14"/>
      <c r="N247" s="14"/>
      <c r="O247" s="14"/>
      <c r="P247" s="14"/>
      <c r="Q247" s="14"/>
    </row>
    <row r="248" spans="1:17" s="25" customFormat="1" ht="26.25" x14ac:dyDescent="0.25">
      <c r="A248" s="8"/>
      <c r="B248" s="181"/>
      <c r="C248" s="166">
        <v>2</v>
      </c>
      <c r="D248" s="147" t="s">
        <v>691</v>
      </c>
      <c r="E248" s="184"/>
      <c r="G248" s="182"/>
      <c r="H248" s="4"/>
      <c r="M248" s="14"/>
      <c r="N248" s="14"/>
      <c r="O248" s="14"/>
      <c r="P248" s="14"/>
      <c r="Q248" s="14"/>
    </row>
    <row r="249" spans="1:17" s="25" customFormat="1" ht="26.25" x14ac:dyDescent="0.25">
      <c r="A249" s="8"/>
      <c r="B249" s="181"/>
      <c r="C249" s="166">
        <v>3</v>
      </c>
      <c r="D249" s="147" t="s">
        <v>692</v>
      </c>
      <c r="E249" s="184"/>
      <c r="G249" s="182"/>
      <c r="H249" s="4"/>
      <c r="M249" s="14"/>
      <c r="N249" s="14"/>
      <c r="O249" s="14"/>
      <c r="P249" s="14"/>
      <c r="Q249" s="14"/>
    </row>
    <row r="250" spans="1:17" s="25" customFormat="1" ht="26.25" x14ac:dyDescent="0.25">
      <c r="A250" s="8"/>
      <c r="B250" s="181"/>
      <c r="C250" s="166">
        <v>4</v>
      </c>
      <c r="D250" s="147" t="s">
        <v>693</v>
      </c>
      <c r="E250" s="184"/>
      <c r="G250" s="182"/>
      <c r="H250" s="4"/>
      <c r="M250" s="14"/>
      <c r="N250" s="14"/>
      <c r="O250" s="14"/>
      <c r="P250" s="14"/>
      <c r="Q250" s="14"/>
    </row>
    <row r="251" spans="1:17" ht="15.75" thickBot="1" x14ac:dyDescent="0.3">
      <c r="A251" s="8"/>
      <c r="B251" s="8"/>
      <c r="C251" s="502" t="s">
        <v>311</v>
      </c>
      <c r="D251" s="503"/>
      <c r="E251" s="144">
        <f>IF(E246&lt;0, "Salah Isi", IF(E246&lt;1, 1, IF(E246&lt;=4, E246, "Salah Isi")))</f>
        <v>1</v>
      </c>
      <c r="G251" s="155"/>
    </row>
    <row r="252" spans="1:17" ht="15.75" thickBot="1" x14ac:dyDescent="0.3">
      <c r="A252" s="8"/>
      <c r="B252" s="8"/>
      <c r="C252" s="138"/>
      <c r="D252" s="138"/>
      <c r="G252" s="155"/>
    </row>
    <row r="253" spans="1:17" s="25" customFormat="1" ht="42.75" customHeight="1" thickBot="1" x14ac:dyDescent="0.3">
      <c r="A253" s="126">
        <v>37</v>
      </c>
      <c r="B253" s="127" t="s">
        <v>65</v>
      </c>
      <c r="C253" s="180" t="s">
        <v>694</v>
      </c>
      <c r="D253" s="206"/>
      <c r="E253" s="185"/>
      <c r="G253" s="152" t="str">
        <f>"Kehadiran dosen tetap dalam perkuliahan. Persentase kehadiran yang direalisasikan terhadap kehadiran yang direncanakan = "&amp;TEXT(E256,"0,00%")</f>
        <v>Kehadiran dosen tetap dalam perkuliahan. Persentase kehadiran yang direalisasikan terhadap kehadiran yang direncanakan = 097%</v>
      </c>
      <c r="H253" s="4"/>
      <c r="M253" s="14"/>
      <c r="N253" s="14"/>
      <c r="O253" s="14"/>
      <c r="P253" s="14"/>
      <c r="Q253" s="14"/>
    </row>
    <row r="254" spans="1:17" x14ac:dyDescent="0.25">
      <c r="C254" s="540" t="s">
        <v>395</v>
      </c>
      <c r="D254" s="541"/>
      <c r="E254" s="163">
        <f>14*14</f>
        <v>196</v>
      </c>
      <c r="F254" s="77"/>
      <c r="G254" s="155"/>
    </row>
    <row r="255" spans="1:17" x14ac:dyDescent="0.25">
      <c r="A255" s="126"/>
      <c r="B255" s="126"/>
      <c r="C255" s="512" t="s">
        <v>396</v>
      </c>
      <c r="D255" s="513"/>
      <c r="E255" s="190">
        <f>11*14+2*12+13</f>
        <v>191</v>
      </c>
      <c r="F255" s="77"/>
      <c r="G255" s="155"/>
    </row>
    <row r="256" spans="1:17" x14ac:dyDescent="0.25">
      <c r="A256" s="126"/>
      <c r="B256" s="126"/>
      <c r="C256" s="504" t="s">
        <v>397</v>
      </c>
      <c r="D256" s="505"/>
      <c r="E256" s="191">
        <f>E255/E254</f>
        <v>0.97448979591836737</v>
      </c>
      <c r="F256" s="77"/>
      <c r="G256" s="155"/>
    </row>
    <row r="257" spans="1:17" ht="15.75" thickBot="1" x14ac:dyDescent="0.3">
      <c r="A257" s="126"/>
      <c r="B257" s="126"/>
      <c r="C257" s="496" t="s">
        <v>311</v>
      </c>
      <c r="D257" s="497"/>
      <c r="E257" s="143">
        <f>IF(E256&gt;=95%, 4, IF(E256&gt;60%, ((80*E256)-48)/7,0))</f>
        <v>4</v>
      </c>
      <c r="F257" s="77"/>
      <c r="G257" s="155"/>
    </row>
    <row r="258" spans="1:17" ht="15.75" thickBot="1" x14ac:dyDescent="0.3">
      <c r="A258" s="126"/>
      <c r="B258" s="126"/>
      <c r="C258" s="204"/>
      <c r="D258" s="204"/>
      <c r="E258" s="77"/>
      <c r="F258" s="77"/>
      <c r="G258" s="155"/>
    </row>
    <row r="259" spans="1:17" s="25" customFormat="1" ht="15.75" thickBot="1" x14ac:dyDescent="0.3">
      <c r="A259" s="126">
        <v>38</v>
      </c>
      <c r="B259" s="126" t="s">
        <v>68</v>
      </c>
      <c r="C259" s="160" t="s">
        <v>988</v>
      </c>
      <c r="D259" s="187"/>
      <c r="E259" s="161"/>
      <c r="F259" s="77"/>
      <c r="G259" s="152" t="str">
        <f>C259&amp;" = ("&amp;E261&amp;" / "&amp;E260+E261&amp;") x 100% = "&amp;TEXT(E262,"0,00%")</f>
        <v>Persentase jumlah dosen tidak tetap, terhadap jumlah seluruh dosen = (23 / 73) x 100% = 032%</v>
      </c>
      <c r="H259" s="4"/>
      <c r="M259" s="14"/>
      <c r="N259" s="14"/>
      <c r="O259" s="14"/>
      <c r="P259" s="14"/>
      <c r="Q259" s="14"/>
    </row>
    <row r="260" spans="1:17" s="25" customFormat="1" x14ac:dyDescent="0.25">
      <c r="C260" s="188" t="s">
        <v>401</v>
      </c>
      <c r="D260" s="189"/>
      <c r="E260" s="163">
        <v>50</v>
      </c>
      <c r="F260" s="77"/>
      <c r="G260" s="155"/>
      <c r="H260" s="4"/>
      <c r="M260" s="14"/>
      <c r="N260" s="14"/>
      <c r="O260" s="14"/>
      <c r="P260" s="14"/>
      <c r="Q260" s="14"/>
    </row>
    <row r="261" spans="1:17" x14ac:dyDescent="0.25">
      <c r="C261" s="188" t="s">
        <v>398</v>
      </c>
      <c r="D261" s="189"/>
      <c r="E261" s="163">
        <v>23</v>
      </c>
      <c r="F261" s="77"/>
      <c r="G261" s="155"/>
    </row>
    <row r="262" spans="1:17" x14ac:dyDescent="0.25">
      <c r="A262" s="126"/>
      <c r="B262" s="126"/>
      <c r="C262" s="504" t="s">
        <v>695</v>
      </c>
      <c r="D262" s="505"/>
      <c r="E262" s="164">
        <f>(E261/(E261+E260))</f>
        <v>0.31506849315068491</v>
      </c>
      <c r="F262" s="77"/>
      <c r="G262" s="155"/>
    </row>
    <row r="263" spans="1:17" ht="15.75" thickBot="1" x14ac:dyDescent="0.3">
      <c r="A263" s="126"/>
      <c r="B263" s="126"/>
      <c r="C263" s="496" t="s">
        <v>311</v>
      </c>
      <c r="D263" s="497"/>
      <c r="E263" s="144">
        <f>IF(E262&lt;=10%, 4, IF(E262&lt;50%, 10*(50%-E262), 0))</f>
        <v>1.849315068493151</v>
      </c>
      <c r="F263" s="77"/>
      <c r="G263" s="155"/>
    </row>
    <row r="264" spans="1:17" ht="15.75" thickBot="1" x14ac:dyDescent="0.3">
      <c r="A264" s="126"/>
      <c r="B264" s="126"/>
      <c r="C264" s="204"/>
      <c r="D264" s="204"/>
      <c r="E264" s="77"/>
      <c r="F264" s="77"/>
      <c r="G264" s="155"/>
    </row>
    <row r="265" spans="1:17" ht="29.25" customHeight="1" thickBot="1" x14ac:dyDescent="0.3">
      <c r="A265" s="8">
        <v>39</v>
      </c>
      <c r="B265" s="8" t="s">
        <v>70</v>
      </c>
      <c r="C265" s="500" t="s">
        <v>71</v>
      </c>
      <c r="D265" s="501"/>
      <c r="E265" s="142">
        <v>3</v>
      </c>
      <c r="G265" s="152" t="s">
        <v>989</v>
      </c>
    </row>
    <row r="266" spans="1:17" s="25" customFormat="1" ht="26.25" x14ac:dyDescent="0.25">
      <c r="A266" s="8"/>
      <c r="B266" s="8"/>
      <c r="C266" s="166">
        <v>0</v>
      </c>
      <c r="D266" s="147" t="s">
        <v>696</v>
      </c>
      <c r="E266" s="192"/>
      <c r="G266" s="155"/>
      <c r="H266" s="4"/>
      <c r="M266" s="14"/>
      <c r="N266" s="14"/>
      <c r="O266" s="14"/>
      <c r="P266" s="14"/>
      <c r="Q266" s="14"/>
    </row>
    <row r="267" spans="1:17" s="25" customFormat="1" ht="26.25" x14ac:dyDescent="0.25">
      <c r="A267" s="8"/>
      <c r="B267" s="8"/>
      <c r="C267" s="166">
        <v>1</v>
      </c>
      <c r="D267" s="147" t="s">
        <v>697</v>
      </c>
      <c r="E267" s="192"/>
      <c r="G267" s="155"/>
      <c r="H267" s="4"/>
      <c r="M267" s="14"/>
      <c r="N267" s="14"/>
      <c r="O267" s="14"/>
      <c r="P267" s="14"/>
      <c r="Q267" s="14"/>
    </row>
    <row r="268" spans="1:17" s="25" customFormat="1" ht="26.25" x14ac:dyDescent="0.25">
      <c r="A268" s="8"/>
      <c r="B268" s="8"/>
      <c r="C268" s="166">
        <v>2</v>
      </c>
      <c r="D268" s="147" t="s">
        <v>698</v>
      </c>
      <c r="E268" s="192"/>
      <c r="G268" s="155"/>
      <c r="H268" s="4"/>
      <c r="M268" s="14"/>
      <c r="N268" s="14"/>
      <c r="O268" s="14"/>
      <c r="P268" s="14"/>
      <c r="Q268" s="14"/>
    </row>
    <row r="269" spans="1:17" s="25" customFormat="1" ht="26.25" x14ac:dyDescent="0.25">
      <c r="A269" s="8"/>
      <c r="B269" s="8"/>
      <c r="C269" s="166">
        <v>3</v>
      </c>
      <c r="D269" s="147" t="s">
        <v>699</v>
      </c>
      <c r="E269" s="192"/>
      <c r="G269" s="155"/>
      <c r="H269" s="4"/>
      <c r="M269" s="14"/>
      <c r="N269" s="14"/>
      <c r="O269" s="14"/>
      <c r="P269" s="14"/>
      <c r="Q269" s="14"/>
    </row>
    <row r="270" spans="1:17" s="25" customFormat="1" ht="26.25" x14ac:dyDescent="0.25">
      <c r="A270" s="8"/>
      <c r="B270" s="8"/>
      <c r="C270" s="166">
        <v>4</v>
      </c>
      <c r="D270" s="147" t="s">
        <v>700</v>
      </c>
      <c r="E270" s="192"/>
      <c r="G270" s="155"/>
      <c r="H270" s="4"/>
      <c r="M270" s="14"/>
      <c r="N270" s="14"/>
      <c r="O270" s="14"/>
      <c r="P270" s="14"/>
      <c r="Q270" s="14"/>
    </row>
    <row r="271" spans="1:17" ht="15.75" thickBot="1" x14ac:dyDescent="0.3">
      <c r="A271" s="8"/>
      <c r="B271" s="8"/>
      <c r="C271" s="502" t="s">
        <v>311</v>
      </c>
      <c r="D271" s="503"/>
      <c r="E271" s="144">
        <f>IF(E265&lt;0, "Salah Isi", IF(E265&lt;=4, E265, "Salah Isi"))</f>
        <v>3</v>
      </c>
      <c r="G271" s="155"/>
    </row>
    <row r="272" spans="1:17" ht="15.75" thickBot="1" x14ac:dyDescent="0.3">
      <c r="A272" s="8"/>
      <c r="B272" s="8"/>
      <c r="C272" s="138"/>
      <c r="D272" s="138"/>
      <c r="G272" s="155"/>
    </row>
    <row r="273" spans="1:17" ht="30" customHeight="1" thickBot="1" x14ac:dyDescent="0.3">
      <c r="A273" s="126">
        <v>40</v>
      </c>
      <c r="B273" s="126" t="s">
        <v>72</v>
      </c>
      <c r="C273" s="518" t="s">
        <v>706</v>
      </c>
      <c r="D273" s="519"/>
      <c r="E273" s="167"/>
      <c r="F273" s="77"/>
      <c r="G273" s="152" t="str">
        <f>"Kehadiran dosen tidak tetap dalam perkuliahan. Persentase kehadiran yang direalisasikan terhadap kehadiran yang direncanakan = "&amp;TEXT(E276,"0,00%")</f>
        <v>Kehadiran dosen tidak tetap dalam perkuliahan. Persentase kehadiran yang direalisasikan terhadap kehadiran yang direncanakan = 098%</v>
      </c>
    </row>
    <row r="274" spans="1:17" s="25" customFormat="1" x14ac:dyDescent="0.25">
      <c r="A274" s="126"/>
      <c r="B274" s="126"/>
      <c r="C274" s="230" t="s">
        <v>704</v>
      </c>
      <c r="D274" s="231"/>
      <c r="E274" s="163">
        <v>1</v>
      </c>
      <c r="F274" s="77"/>
      <c r="G274" s="155"/>
      <c r="H274" s="4"/>
      <c r="M274" s="14"/>
      <c r="N274" s="14"/>
      <c r="O274" s="14"/>
      <c r="P274" s="14"/>
      <c r="Q274" s="14"/>
    </row>
    <row r="275" spans="1:17" s="25" customFormat="1" x14ac:dyDescent="0.25">
      <c r="A275" s="126"/>
      <c r="B275" s="126"/>
      <c r="C275" s="230" t="s">
        <v>705</v>
      </c>
      <c r="D275" s="231"/>
      <c r="E275" s="163">
        <v>0.98</v>
      </c>
      <c r="F275" s="77"/>
      <c r="G275" s="155"/>
      <c r="H275" s="4"/>
      <c r="M275" s="14"/>
      <c r="N275" s="14"/>
      <c r="O275" s="14"/>
      <c r="P275" s="14"/>
      <c r="Q275" s="14"/>
    </row>
    <row r="276" spans="1:17" s="25" customFormat="1" x14ac:dyDescent="0.25">
      <c r="A276" s="126"/>
      <c r="B276" s="126"/>
      <c r="C276" s="230" t="s">
        <v>397</v>
      </c>
      <c r="D276" s="231"/>
      <c r="E276" s="164">
        <f>E275/E274</f>
        <v>0.98</v>
      </c>
      <c r="F276" s="77"/>
      <c r="G276" s="155"/>
      <c r="H276" s="4"/>
      <c r="M276" s="14"/>
      <c r="N276" s="14"/>
      <c r="O276" s="14"/>
      <c r="P276" s="14"/>
      <c r="Q276" s="14"/>
    </row>
    <row r="277" spans="1:17" ht="15.75" thickBot="1" x14ac:dyDescent="0.3">
      <c r="A277" s="126"/>
      <c r="B277" s="126"/>
      <c r="C277" s="496" t="s">
        <v>311</v>
      </c>
      <c r="D277" s="497"/>
      <c r="E277" s="144">
        <f>IF(E276&gt;1, "Salah Isi", IF(E276&lt;60%, 0, IF(E276&lt;95%, (80*E276-48)/7,4)))</f>
        <v>4</v>
      </c>
      <c r="F277" s="77"/>
      <c r="G277" s="155"/>
    </row>
    <row r="278" spans="1:17" ht="15.75" thickBot="1" x14ac:dyDescent="0.3">
      <c r="A278" s="126"/>
      <c r="B278" s="126"/>
      <c r="C278" s="204"/>
      <c r="D278" s="204"/>
      <c r="E278" s="77"/>
      <c r="F278" s="77"/>
      <c r="G278" s="155"/>
    </row>
    <row r="279" spans="1:17" ht="43.5" customHeight="1" thickBot="1" x14ac:dyDescent="0.3">
      <c r="A279" s="126">
        <v>41</v>
      </c>
      <c r="B279" s="126" t="s">
        <v>74</v>
      </c>
      <c r="C279" s="522" t="s">
        <v>707</v>
      </c>
      <c r="D279" s="523"/>
      <c r="E279" s="240">
        <v>5</v>
      </c>
      <c r="F279" s="77"/>
      <c r="G279" s="152" t="str">
        <f>"Jumlah tenaga ahli/pakar yang telah diundang sebagai pembicara dalam seminar/pelatihan, pembicara tamu = "&amp;E279&amp;" orang."</f>
        <v>Jumlah tenaga ahli/pakar yang telah diundang sebagai pembicara dalam seminar/pelatihan, pembicara tamu = 5 orang.</v>
      </c>
    </row>
    <row r="280" spans="1:17" ht="15.75" thickBot="1" x14ac:dyDescent="0.3">
      <c r="A280" s="126"/>
      <c r="B280" s="126"/>
      <c r="C280" s="496" t="s">
        <v>311</v>
      </c>
      <c r="D280" s="497"/>
      <c r="E280" s="241">
        <f>IF(E279&gt;=12, 4, 1+E279/4)</f>
        <v>2.25</v>
      </c>
      <c r="F280" s="77"/>
      <c r="G280" s="155"/>
    </row>
    <row r="281" spans="1:17" ht="15.75" thickBot="1" x14ac:dyDescent="0.3">
      <c r="A281" s="126"/>
      <c r="B281" s="126"/>
      <c r="C281" s="204"/>
      <c r="D281" s="204"/>
      <c r="E281" s="77"/>
      <c r="F281" s="77"/>
      <c r="G281" s="155"/>
    </row>
    <row r="282" spans="1:17" s="25" customFormat="1" ht="29.25" customHeight="1" thickBot="1" x14ac:dyDescent="0.3">
      <c r="A282" s="126">
        <v>42</v>
      </c>
      <c r="B282" s="126" t="s">
        <v>76</v>
      </c>
      <c r="C282" s="500" t="s">
        <v>77</v>
      </c>
      <c r="D282" s="501"/>
      <c r="E282" s="161"/>
      <c r="F282" s="77"/>
      <c r="G282" s="152" t="str">
        <f>("Jumlah dosen tugas belajar S2 sesuai bidang PS = "&amp;E285&amp;" orang, dan S3 sesuai bidang PS = "&amp;E286&amp;" orang.")</f>
        <v>Jumlah dosen tugas belajar S2 sesuai bidang PS = 4 orang, dan S3 sesuai bidang PS = 0 orang.</v>
      </c>
      <c r="H282" s="4"/>
      <c r="M282" s="14"/>
      <c r="N282" s="14"/>
      <c r="O282" s="14"/>
      <c r="P282" s="14"/>
      <c r="Q282" s="14"/>
    </row>
    <row r="283" spans="1:17" ht="27" customHeight="1" x14ac:dyDescent="0.25">
      <c r="C283" s="532" t="s">
        <v>708</v>
      </c>
      <c r="D283" s="533"/>
      <c r="E283" s="163">
        <f>6/8</f>
        <v>0.75</v>
      </c>
      <c r="F283" s="126" t="str">
        <f>IF(E283&lt;0,"Salah",IF(E283&lt;=100,"Benar","Salah"))</f>
        <v>Benar</v>
      </c>
      <c r="G283" s="155"/>
    </row>
    <row r="284" spans="1:17" x14ac:dyDescent="0.25">
      <c r="A284" s="126"/>
      <c r="B284" s="126"/>
      <c r="C284" s="557" t="s">
        <v>709</v>
      </c>
      <c r="D284" s="558"/>
      <c r="E284" s="163">
        <v>0</v>
      </c>
      <c r="F284" s="126" t="str">
        <f>IF(E284&lt;0,"Salah",IF(E284&lt;=100,"Benar","Salah"))</f>
        <v>Benar</v>
      </c>
      <c r="G284" s="155"/>
    </row>
    <row r="285" spans="1:17" x14ac:dyDescent="0.25">
      <c r="A285" s="126"/>
      <c r="B285" s="126"/>
      <c r="C285" s="195" t="s">
        <v>319</v>
      </c>
      <c r="D285" s="189" t="s">
        <v>475</v>
      </c>
      <c r="E285" s="163">
        <v>4</v>
      </c>
      <c r="F285" s="126"/>
      <c r="G285" s="155"/>
    </row>
    <row r="286" spans="1:17" x14ac:dyDescent="0.25">
      <c r="A286" s="126"/>
      <c r="B286" s="126"/>
      <c r="C286" s="195" t="s">
        <v>320</v>
      </c>
      <c r="D286" s="189" t="s">
        <v>476</v>
      </c>
      <c r="E286" s="163">
        <v>0</v>
      </c>
      <c r="F286" s="126"/>
      <c r="G286" s="155"/>
    </row>
    <row r="287" spans="1:17" x14ac:dyDescent="0.25">
      <c r="A287" s="126"/>
      <c r="B287" s="126"/>
      <c r="C287" s="195" t="s">
        <v>321</v>
      </c>
      <c r="D287" s="189" t="s">
        <v>479</v>
      </c>
      <c r="E287" s="164">
        <f>(0.75*E285+1.25*E286)</f>
        <v>3</v>
      </c>
      <c r="F287" s="126"/>
      <c r="G287" s="155"/>
    </row>
    <row r="288" spans="1:17" ht="15.75" thickBot="1" x14ac:dyDescent="0.3">
      <c r="A288" s="126"/>
      <c r="B288" s="126"/>
      <c r="C288" s="243" t="s">
        <v>311</v>
      </c>
      <c r="D288" s="224"/>
      <c r="E288" s="144">
        <f>IF(E283&gt;90,4,IF(E284&gt;40,4,IF(E287&gt;=4,4,E287)))</f>
        <v>3</v>
      </c>
      <c r="F288" s="126"/>
      <c r="G288" s="155"/>
    </row>
    <row r="289" spans="1:17" ht="15.75" thickBot="1" x14ac:dyDescent="0.3">
      <c r="A289" s="126"/>
      <c r="B289" s="126"/>
      <c r="C289" s="204"/>
      <c r="D289" s="204"/>
      <c r="E289" s="77"/>
      <c r="F289" s="77"/>
      <c r="G289" s="155"/>
    </row>
    <row r="290" spans="1:17" s="25" customFormat="1" ht="43.5" customHeight="1" thickBot="1" x14ac:dyDescent="0.3">
      <c r="A290" s="126">
        <v>43</v>
      </c>
      <c r="B290" s="126" t="s">
        <v>78</v>
      </c>
      <c r="C290" s="553" t="s">
        <v>188</v>
      </c>
      <c r="D290" s="554"/>
      <c r="E290" s="162"/>
      <c r="F290" s="77"/>
      <c r="G290" s="152" t="str">
        <f>("Jumlah dosen tetap yang bidang keahliannya sesuai bidang PS = "&amp;E293&amp;" orang. "&amp;D291&amp;" = "&amp;E291&amp;" kali. "&amp;D292&amp;" = "&amp;E292&amp;" kali."&amp;" SP = ("&amp;E291&amp;"+"&amp;E292&amp;"/4 ) = "&amp;TEXT(E294,"0,00"))</f>
        <v>Jumlah dosen tetap yang bidang keahliannya sesuai bidang PS = 6 orang. Jumlah kehadiran sebagai penyaji = 0 kali. Jumlah kehadiran sebagai peserta = 19 kali. SP = (0+19/4 ) = 001</v>
      </c>
      <c r="H290" s="4"/>
      <c r="M290" s="14"/>
      <c r="N290" s="14"/>
      <c r="O290" s="14"/>
      <c r="P290" s="14"/>
      <c r="Q290" s="14"/>
    </row>
    <row r="291" spans="1:17" x14ac:dyDescent="0.25">
      <c r="C291" s="202" t="s">
        <v>204</v>
      </c>
      <c r="D291" s="208" t="s">
        <v>399</v>
      </c>
      <c r="E291" s="163">
        <v>0</v>
      </c>
      <c r="F291" s="77"/>
      <c r="G291" s="155"/>
    </row>
    <row r="292" spans="1:17" x14ac:dyDescent="0.25">
      <c r="A292" s="126"/>
      <c r="B292" s="126"/>
      <c r="C292" s="202" t="s">
        <v>206</v>
      </c>
      <c r="D292" s="208" t="s">
        <v>400</v>
      </c>
      <c r="E292" s="163">
        <v>19</v>
      </c>
      <c r="F292" s="77"/>
      <c r="G292" s="155"/>
    </row>
    <row r="293" spans="1:17" x14ac:dyDescent="0.25">
      <c r="A293" s="126" t="s">
        <v>380</v>
      </c>
      <c r="B293" s="126"/>
      <c r="C293" s="202" t="s">
        <v>335</v>
      </c>
      <c r="D293" s="208" t="s">
        <v>401</v>
      </c>
      <c r="E293" s="163">
        <v>6</v>
      </c>
      <c r="F293" s="77"/>
      <c r="G293" s="155"/>
    </row>
    <row r="294" spans="1:17" x14ac:dyDescent="0.25">
      <c r="A294" s="126"/>
      <c r="B294" s="126"/>
      <c r="C294" s="202" t="s">
        <v>322</v>
      </c>
      <c r="D294" s="208" t="s">
        <v>402</v>
      </c>
      <c r="E294" s="164">
        <f>((E291+(E292/4))/E293)</f>
        <v>0.79166666666666663</v>
      </c>
      <c r="F294" s="77"/>
      <c r="G294" s="155"/>
    </row>
    <row r="295" spans="1:17" ht="15.75" thickBot="1" x14ac:dyDescent="0.3">
      <c r="A295" s="126"/>
      <c r="B295" s="126"/>
      <c r="C295" s="225" t="s">
        <v>311</v>
      </c>
      <c r="D295" s="226"/>
      <c r="E295" s="144">
        <f>IF(E294=0, 0, IF(E294&lt;3, 1+E294,4))</f>
        <v>1.7916666666666665</v>
      </c>
      <c r="F295" s="77"/>
      <c r="G295" s="155"/>
    </row>
    <row r="296" spans="1:17" ht="15.75" thickBot="1" x14ac:dyDescent="0.3">
      <c r="A296" s="8"/>
      <c r="B296" s="8"/>
      <c r="C296" s="138"/>
      <c r="D296" s="138"/>
      <c r="G296" s="155"/>
    </row>
    <row r="297" spans="1:17" ht="26.25" customHeight="1" thickBot="1" x14ac:dyDescent="0.3">
      <c r="A297" s="8">
        <v>44</v>
      </c>
      <c r="B297" s="8" t="s">
        <v>79</v>
      </c>
      <c r="C297" s="500" t="s">
        <v>538</v>
      </c>
      <c r="D297" s="501"/>
      <c r="E297" s="142">
        <v>0</v>
      </c>
      <c r="G297" s="152" t="s">
        <v>990</v>
      </c>
    </row>
    <row r="298" spans="1:17" s="25" customFormat="1" ht="15.75" customHeight="1" x14ac:dyDescent="0.25">
      <c r="A298" s="8"/>
      <c r="B298" s="8"/>
      <c r="C298" s="215">
        <v>0</v>
      </c>
      <c r="D298" s="147" t="s">
        <v>710</v>
      </c>
      <c r="E298" s="149"/>
      <c r="G298" s="182"/>
      <c r="H298" s="4"/>
      <c r="M298" s="14"/>
      <c r="N298" s="14"/>
      <c r="O298" s="14"/>
      <c r="P298" s="14"/>
      <c r="Q298" s="14"/>
    </row>
    <row r="299" spans="1:17" s="25" customFormat="1" ht="27.75" customHeight="1" x14ac:dyDescent="0.25">
      <c r="A299" s="8"/>
      <c r="B299" s="8"/>
      <c r="C299" s="215">
        <v>1</v>
      </c>
      <c r="D299" s="147" t="s">
        <v>711</v>
      </c>
      <c r="E299" s="149"/>
      <c r="G299" s="182"/>
      <c r="H299" s="4"/>
      <c r="M299" s="14"/>
      <c r="N299" s="14"/>
      <c r="O299" s="14"/>
      <c r="P299" s="14"/>
      <c r="Q299" s="14"/>
    </row>
    <row r="300" spans="1:17" s="25" customFormat="1" ht="29.25" customHeight="1" x14ac:dyDescent="0.25">
      <c r="A300" s="8"/>
      <c r="B300" s="8"/>
      <c r="C300" s="215">
        <v>2</v>
      </c>
      <c r="D300" s="147" t="s">
        <v>712</v>
      </c>
      <c r="E300" s="149"/>
      <c r="G300" s="182"/>
      <c r="H300" s="4"/>
      <c r="M300" s="14"/>
      <c r="N300" s="14"/>
      <c r="O300" s="14"/>
      <c r="P300" s="14"/>
      <c r="Q300" s="14"/>
    </row>
    <row r="301" spans="1:17" s="25" customFormat="1" ht="26.25" customHeight="1" x14ac:dyDescent="0.25">
      <c r="A301" s="8"/>
      <c r="B301" s="8"/>
      <c r="C301" s="215">
        <v>3</v>
      </c>
      <c r="D301" s="147" t="s">
        <v>713</v>
      </c>
      <c r="E301" s="149"/>
      <c r="G301" s="182"/>
      <c r="H301" s="4"/>
      <c r="M301" s="14"/>
      <c r="N301" s="14"/>
      <c r="O301" s="14"/>
      <c r="P301" s="14"/>
      <c r="Q301" s="14"/>
    </row>
    <row r="302" spans="1:17" s="25" customFormat="1" ht="27" customHeight="1" x14ac:dyDescent="0.25">
      <c r="A302" s="8"/>
      <c r="B302" s="8"/>
      <c r="C302" s="215">
        <v>4</v>
      </c>
      <c r="D302" s="147" t="s">
        <v>714</v>
      </c>
      <c r="E302" s="149"/>
      <c r="G302" s="182"/>
      <c r="H302" s="4"/>
      <c r="M302" s="14"/>
      <c r="N302" s="14"/>
      <c r="O302" s="14"/>
      <c r="P302" s="14"/>
      <c r="Q302" s="14"/>
    </row>
    <row r="303" spans="1:17" ht="15.75" thickBot="1" x14ac:dyDescent="0.3">
      <c r="A303" s="8"/>
      <c r="B303" s="8"/>
      <c r="C303" s="508" t="s">
        <v>311</v>
      </c>
      <c r="D303" s="509"/>
      <c r="E303" s="144">
        <f>IF(E297&lt;0, "Salah Isi", IF(E297&lt;=4, E297, "Salah Isi"))</f>
        <v>0</v>
      </c>
      <c r="G303" s="155"/>
    </row>
    <row r="304" spans="1:17" ht="15.75" thickBot="1" x14ac:dyDescent="0.3">
      <c r="A304" s="8"/>
      <c r="B304" s="8"/>
      <c r="C304" s="138"/>
      <c r="D304" s="138"/>
      <c r="G304" s="155"/>
    </row>
    <row r="305" spans="1:17" ht="26.25" customHeight="1" thickBot="1" x14ac:dyDescent="0.3">
      <c r="A305" s="8">
        <v>45</v>
      </c>
      <c r="B305" s="8" t="s">
        <v>81</v>
      </c>
      <c r="C305" s="500" t="s">
        <v>991</v>
      </c>
      <c r="D305" s="501"/>
      <c r="E305" s="142">
        <v>0</v>
      </c>
      <c r="G305" s="152" t="str">
        <f>C306&amp;" = "&amp;TEXT(E306,"0,00%")</f>
        <v>Persentase dosen yang menjadi anggota masyarakat bidang ilmu = 015%</v>
      </c>
    </row>
    <row r="306" spans="1:17" s="25" customFormat="1" ht="18" customHeight="1" x14ac:dyDescent="0.25">
      <c r="A306" s="8"/>
      <c r="B306" s="8"/>
      <c r="C306" s="516" t="s">
        <v>992</v>
      </c>
      <c r="D306" s="517"/>
      <c r="E306" s="357">
        <v>0.15</v>
      </c>
      <c r="G306" s="182"/>
      <c r="H306" s="4"/>
      <c r="M306" s="14"/>
      <c r="N306" s="14"/>
      <c r="O306" s="14"/>
      <c r="P306" s="14"/>
      <c r="Q306" s="14"/>
    </row>
    <row r="307" spans="1:17" s="25" customFormat="1" ht="26.25" customHeight="1" x14ac:dyDescent="0.25">
      <c r="A307" s="8"/>
      <c r="B307" s="8"/>
      <c r="C307" s="215">
        <v>0</v>
      </c>
      <c r="D307" s="169" t="s">
        <v>715</v>
      </c>
      <c r="E307" s="149"/>
      <c r="G307" s="155"/>
      <c r="H307" s="4"/>
      <c r="M307" s="14"/>
      <c r="N307" s="14"/>
      <c r="O307" s="14"/>
      <c r="P307" s="14"/>
      <c r="Q307" s="14"/>
    </row>
    <row r="308" spans="1:17" s="25" customFormat="1" ht="27" customHeight="1" x14ac:dyDescent="0.25">
      <c r="A308" s="8"/>
      <c r="B308" s="8"/>
      <c r="C308" s="215">
        <v>1</v>
      </c>
      <c r="D308" s="169" t="s">
        <v>716</v>
      </c>
      <c r="E308" s="149"/>
      <c r="G308" s="155"/>
      <c r="H308" s="4"/>
      <c r="M308" s="14"/>
      <c r="N308" s="14"/>
      <c r="O308" s="14"/>
      <c r="P308" s="14"/>
      <c r="Q308" s="14"/>
    </row>
    <row r="309" spans="1:17" s="25" customFormat="1" ht="27" customHeight="1" x14ac:dyDescent="0.25">
      <c r="A309" s="8"/>
      <c r="B309" s="8"/>
      <c r="C309" s="215">
        <v>2</v>
      </c>
      <c r="D309" s="169" t="s">
        <v>717</v>
      </c>
      <c r="E309" s="149"/>
      <c r="G309" s="155"/>
      <c r="H309" s="4"/>
      <c r="M309" s="14"/>
      <c r="N309" s="14"/>
      <c r="O309" s="14"/>
      <c r="P309" s="14"/>
      <c r="Q309" s="14"/>
    </row>
    <row r="310" spans="1:17" s="25" customFormat="1" ht="27" customHeight="1" x14ac:dyDescent="0.25">
      <c r="A310" s="8"/>
      <c r="B310" s="8"/>
      <c r="C310" s="215">
        <v>3</v>
      </c>
      <c r="D310" s="169" t="s">
        <v>718</v>
      </c>
      <c r="E310" s="149"/>
      <c r="G310" s="155"/>
      <c r="H310" s="4"/>
      <c r="M310" s="14"/>
      <c r="N310" s="14"/>
      <c r="O310" s="14"/>
      <c r="P310" s="14"/>
      <c r="Q310" s="14"/>
    </row>
    <row r="311" spans="1:17" s="25" customFormat="1" ht="26.25" customHeight="1" x14ac:dyDescent="0.25">
      <c r="A311" s="8"/>
      <c r="B311" s="8"/>
      <c r="C311" s="215">
        <v>4</v>
      </c>
      <c r="D311" s="169" t="s">
        <v>719</v>
      </c>
      <c r="E311" s="149"/>
      <c r="G311" s="155"/>
      <c r="H311" s="4"/>
      <c r="M311" s="14"/>
      <c r="N311" s="14"/>
      <c r="O311" s="14"/>
      <c r="P311" s="14"/>
      <c r="Q311" s="14"/>
    </row>
    <row r="312" spans="1:17" ht="15.75" thickBot="1" x14ac:dyDescent="0.3">
      <c r="A312" s="8"/>
      <c r="B312" s="8"/>
      <c r="C312" s="508" t="s">
        <v>311</v>
      </c>
      <c r="D312" s="509"/>
      <c r="E312" s="144">
        <f>IF(E305&lt;0, "Salah Isi", IF(E305&lt;=4, E305, "Salah Isi"))</f>
        <v>0</v>
      </c>
      <c r="G312" s="155"/>
    </row>
    <row r="313" spans="1:17" ht="15.75" thickBot="1" x14ac:dyDescent="0.3">
      <c r="A313" s="126"/>
      <c r="B313" s="126"/>
      <c r="C313" s="204"/>
      <c r="D313" s="204"/>
      <c r="E313" s="77"/>
      <c r="F313" s="77"/>
      <c r="G313" s="155"/>
    </row>
    <row r="314" spans="1:17" s="25" customFormat="1" ht="15.75" thickBot="1" x14ac:dyDescent="0.3">
      <c r="A314" s="126">
        <v>46</v>
      </c>
      <c r="B314" s="126" t="s">
        <v>83</v>
      </c>
      <c r="C314" s="160" t="s">
        <v>720</v>
      </c>
      <c r="D314" s="187"/>
      <c r="E314" s="162"/>
      <c r="F314" s="77"/>
      <c r="G314" s="152" t="str">
        <f>"Jumlah pustakawan = "&amp;SUM(E315:E317)&amp;" orang, "&amp;"dengan rincian sbb:"</f>
        <v>Jumlah pustakawan = 8 orang, dengan rincian sbb:</v>
      </c>
      <c r="H314" s="4"/>
      <c r="M314" s="14"/>
      <c r="N314" s="14"/>
      <c r="O314" s="14"/>
      <c r="P314" s="14"/>
      <c r="Q314" s="14"/>
    </row>
    <row r="315" spans="1:17" x14ac:dyDescent="0.25">
      <c r="C315" s="205" t="s">
        <v>323</v>
      </c>
      <c r="D315" s="208" t="s">
        <v>403</v>
      </c>
      <c r="E315" s="163">
        <v>1</v>
      </c>
      <c r="F315" s="77"/>
      <c r="G315" s="155"/>
    </row>
    <row r="316" spans="1:17" x14ac:dyDescent="0.25">
      <c r="A316" s="126"/>
      <c r="B316" s="126"/>
      <c r="C316" s="205" t="s">
        <v>324</v>
      </c>
      <c r="D316" s="208" t="s">
        <v>404</v>
      </c>
      <c r="E316" s="163">
        <v>3</v>
      </c>
      <c r="F316" s="77"/>
      <c r="G316" s="155"/>
    </row>
    <row r="317" spans="1:17" x14ac:dyDescent="0.25">
      <c r="A317" s="126"/>
      <c r="B317" s="126"/>
      <c r="C317" s="205" t="s">
        <v>325</v>
      </c>
      <c r="D317" s="208" t="s">
        <v>405</v>
      </c>
      <c r="E317" s="163">
        <v>4</v>
      </c>
      <c r="F317" s="77"/>
      <c r="G317" s="155"/>
    </row>
    <row r="318" spans="1:17" x14ac:dyDescent="0.25">
      <c r="A318" s="126"/>
      <c r="B318" s="126"/>
      <c r="C318" s="205" t="s">
        <v>326</v>
      </c>
      <c r="D318" s="208" t="s">
        <v>406</v>
      </c>
      <c r="E318" s="164">
        <f>(((4*E315)+(3*E316)+(2*E317))/4)</f>
        <v>5.25</v>
      </c>
      <c r="F318" s="77"/>
      <c r="G318" s="155"/>
    </row>
    <row r="319" spans="1:17" ht="15.75" thickBot="1" x14ac:dyDescent="0.3">
      <c r="A319" s="126"/>
      <c r="B319" s="126"/>
      <c r="C319" s="225" t="s">
        <v>311</v>
      </c>
      <c r="D319" s="226"/>
      <c r="E319" s="144">
        <f>IF(E318&gt;=4, 4, E318)</f>
        <v>4</v>
      </c>
      <c r="F319" s="77"/>
      <c r="G319" s="155"/>
    </row>
    <row r="320" spans="1:17" ht="15.75" thickBot="1" x14ac:dyDescent="0.3">
      <c r="A320" s="8"/>
      <c r="B320" s="8"/>
      <c r="C320" s="138"/>
      <c r="D320" s="138"/>
      <c r="G320" s="155"/>
    </row>
    <row r="321" spans="1:17" ht="15.75" thickBot="1" x14ac:dyDescent="0.3">
      <c r="A321" s="8">
        <v>47</v>
      </c>
      <c r="B321" s="8" t="s">
        <v>85</v>
      </c>
      <c r="C321" s="160" t="s">
        <v>539</v>
      </c>
      <c r="D321" s="206"/>
      <c r="E321" s="142">
        <v>2</v>
      </c>
      <c r="G321" s="152" t="s">
        <v>993</v>
      </c>
    </row>
    <row r="322" spans="1:17" s="25" customFormat="1" ht="26.25" x14ac:dyDescent="0.25">
      <c r="A322" s="8"/>
      <c r="B322" s="8"/>
      <c r="C322" s="166">
        <v>1</v>
      </c>
      <c r="D322" s="147" t="s">
        <v>722</v>
      </c>
      <c r="E322" s="149"/>
      <c r="G322" s="155"/>
      <c r="H322" s="4"/>
      <c r="M322" s="14"/>
      <c r="N322" s="14"/>
      <c r="O322" s="14"/>
      <c r="P322" s="14"/>
      <c r="Q322" s="14"/>
    </row>
    <row r="323" spans="1:17" s="25" customFormat="1" ht="26.25" x14ac:dyDescent="0.25">
      <c r="A323" s="8"/>
      <c r="B323" s="8"/>
      <c r="C323" s="166">
        <v>2</v>
      </c>
      <c r="D323" s="147" t="s">
        <v>721</v>
      </c>
      <c r="E323" s="149"/>
      <c r="G323" s="155"/>
      <c r="H323" s="4"/>
      <c r="M323" s="14"/>
      <c r="N323" s="14"/>
      <c r="O323" s="14"/>
      <c r="P323" s="14"/>
      <c r="Q323" s="14"/>
    </row>
    <row r="324" spans="1:17" s="25" customFormat="1" x14ac:dyDescent="0.25">
      <c r="A324" s="8"/>
      <c r="B324" s="8"/>
      <c r="C324" s="166">
        <v>3</v>
      </c>
      <c r="D324" s="147" t="s">
        <v>723</v>
      </c>
      <c r="E324" s="149"/>
      <c r="G324" s="155"/>
      <c r="H324" s="4"/>
      <c r="M324" s="14"/>
      <c r="N324" s="14"/>
      <c r="O324" s="14"/>
      <c r="P324" s="14"/>
      <c r="Q324" s="14"/>
    </row>
    <row r="325" spans="1:17" s="25" customFormat="1" x14ac:dyDescent="0.25">
      <c r="A325" s="8"/>
      <c r="B325" s="8"/>
      <c r="C325" s="166">
        <v>4</v>
      </c>
      <c r="D325" s="147" t="s">
        <v>724</v>
      </c>
      <c r="E325" s="149"/>
      <c r="G325" s="155"/>
      <c r="H325" s="4"/>
      <c r="M325" s="14"/>
      <c r="N325" s="14"/>
      <c r="O325" s="14"/>
      <c r="P325" s="14"/>
      <c r="Q325" s="14"/>
    </row>
    <row r="326" spans="1:17" ht="15.75" thickBot="1" x14ac:dyDescent="0.3">
      <c r="A326" s="8"/>
      <c r="B326" s="8"/>
      <c r="C326" s="508" t="s">
        <v>311</v>
      </c>
      <c r="D326" s="509"/>
      <c r="E326" s="144">
        <f>IF(E321&lt;0, "Salah Isi", IF(E321&lt;1, 1, IF(E321&lt;=4, E321, "Salah Isi")))</f>
        <v>2</v>
      </c>
      <c r="G326" s="155"/>
    </row>
    <row r="327" spans="1:17" ht="15.75" thickBot="1" x14ac:dyDescent="0.3">
      <c r="A327" s="8"/>
      <c r="B327" s="8"/>
      <c r="C327" s="138"/>
      <c r="D327" s="138"/>
      <c r="G327" s="155"/>
    </row>
    <row r="328" spans="1:17" s="25" customFormat="1" ht="15.75" thickBot="1" x14ac:dyDescent="0.3">
      <c r="A328" s="126">
        <v>48</v>
      </c>
      <c r="B328" s="126" t="s">
        <v>87</v>
      </c>
      <c r="C328" s="244" t="s">
        <v>725</v>
      </c>
      <c r="D328" s="206"/>
      <c r="E328" s="167"/>
      <c r="G328" s="152" t="str">
        <f>"Jumlah tenaga administrasi = "&amp;SUM(E329:E332)&amp;", dengan rincian sebagai berikut:"</f>
        <v>Jumlah tenaga administrasi = 2, dengan rincian sebagai berikut:</v>
      </c>
      <c r="H328" s="4"/>
      <c r="M328" s="14"/>
      <c r="N328" s="14"/>
      <c r="O328" s="14"/>
      <c r="P328" s="14"/>
      <c r="Q328" s="14"/>
    </row>
    <row r="329" spans="1:17" x14ac:dyDescent="0.25">
      <c r="C329" s="205" t="s">
        <v>323</v>
      </c>
      <c r="D329" s="208" t="s">
        <v>407</v>
      </c>
      <c r="E329" s="163">
        <v>1</v>
      </c>
      <c r="F329" s="77"/>
      <c r="G329" s="155"/>
    </row>
    <row r="330" spans="1:17" x14ac:dyDescent="0.25">
      <c r="A330" s="126"/>
      <c r="B330" s="126"/>
      <c r="C330" s="205" t="s">
        <v>324</v>
      </c>
      <c r="D330" s="208" t="s">
        <v>408</v>
      </c>
      <c r="E330" s="163">
        <v>0</v>
      </c>
      <c r="F330" s="77"/>
      <c r="G330" s="155"/>
    </row>
    <row r="331" spans="1:17" x14ac:dyDescent="0.25">
      <c r="A331" s="126"/>
      <c r="B331" s="126"/>
      <c r="C331" s="205" t="s">
        <v>325</v>
      </c>
      <c r="D331" s="208" t="s">
        <v>409</v>
      </c>
      <c r="E331" s="163">
        <v>0</v>
      </c>
      <c r="F331" s="77"/>
      <c r="G331" s="155"/>
    </row>
    <row r="332" spans="1:17" x14ac:dyDescent="0.25">
      <c r="A332" s="126"/>
      <c r="B332" s="126"/>
      <c r="C332" s="245" t="s">
        <v>378</v>
      </c>
      <c r="D332" s="189" t="s">
        <v>410</v>
      </c>
      <c r="E332" s="163">
        <v>1</v>
      </c>
      <c r="F332" s="77"/>
      <c r="G332" s="155"/>
    </row>
    <row r="333" spans="1:17" x14ac:dyDescent="0.25">
      <c r="A333" s="126"/>
      <c r="B333" s="126"/>
      <c r="C333" s="205" t="s">
        <v>327</v>
      </c>
      <c r="D333" s="208"/>
      <c r="E333" s="164">
        <f>((4*E329)+(3*E330)+(2*E331)+E332)/4</f>
        <v>1.25</v>
      </c>
      <c r="F333" s="77"/>
      <c r="G333" s="155"/>
    </row>
    <row r="334" spans="1:17" ht="15.75" thickBot="1" x14ac:dyDescent="0.3">
      <c r="A334" s="126"/>
      <c r="B334" s="126"/>
      <c r="C334" s="225" t="s">
        <v>311</v>
      </c>
      <c r="D334" s="226"/>
      <c r="E334" s="144">
        <f>IF(E333&gt;=4, 4, E333)</f>
        <v>1.25</v>
      </c>
      <c r="F334" s="77"/>
      <c r="G334" s="155"/>
    </row>
    <row r="335" spans="1:17" ht="15.75" thickBot="1" x14ac:dyDescent="0.3">
      <c r="A335" s="8"/>
      <c r="B335" s="8"/>
      <c r="C335" s="138"/>
      <c r="D335" s="138"/>
      <c r="G335" s="155"/>
    </row>
    <row r="336" spans="1:17" ht="27.75" customHeight="1" thickBot="1" x14ac:dyDescent="0.3">
      <c r="A336" s="8">
        <v>49</v>
      </c>
      <c r="B336" s="8" t="s">
        <v>89</v>
      </c>
      <c r="C336" s="500" t="s">
        <v>994</v>
      </c>
      <c r="D336" s="501"/>
      <c r="E336" s="142">
        <v>4</v>
      </c>
      <c r="G336" s="152" t="str">
        <f>C336&amp;" antara lain: "</f>
        <v xml:space="preserve">Upaya yang telah dilakukan PS untuk meningkatkan kualifikasi dan kompetensi tenaga kependidikan antara lain: </v>
      </c>
    </row>
    <row r="337" spans="1:17" s="25" customFormat="1" ht="28.5" customHeight="1" x14ac:dyDescent="0.25">
      <c r="A337" s="8"/>
      <c r="B337" s="8"/>
      <c r="C337" s="215">
        <v>1</v>
      </c>
      <c r="D337" s="169" t="s">
        <v>726</v>
      </c>
      <c r="E337" s="149"/>
      <c r="G337" s="155"/>
      <c r="H337" s="4"/>
      <c r="M337" s="14"/>
      <c r="N337" s="14"/>
      <c r="O337" s="14"/>
      <c r="P337" s="14"/>
      <c r="Q337" s="14"/>
    </row>
    <row r="338" spans="1:17" s="25" customFormat="1" ht="39.75" customHeight="1" x14ac:dyDescent="0.25">
      <c r="A338" s="8"/>
      <c r="B338" s="8"/>
      <c r="C338" s="215">
        <v>2</v>
      </c>
      <c r="D338" s="169" t="s">
        <v>727</v>
      </c>
      <c r="E338" s="149"/>
      <c r="G338" s="155"/>
      <c r="H338" s="4"/>
      <c r="M338" s="14"/>
      <c r="N338" s="14"/>
      <c r="O338" s="14"/>
      <c r="P338" s="14"/>
      <c r="Q338" s="14"/>
    </row>
    <row r="339" spans="1:17" s="25" customFormat="1" ht="39.75" customHeight="1" x14ac:dyDescent="0.25">
      <c r="A339" s="8"/>
      <c r="B339" s="8"/>
      <c r="C339" s="215">
        <v>3</v>
      </c>
      <c r="D339" s="169" t="s">
        <v>728</v>
      </c>
      <c r="E339" s="149"/>
      <c r="G339" s="155"/>
      <c r="H339" s="4"/>
      <c r="M339" s="14"/>
      <c r="N339" s="14"/>
      <c r="O339" s="14"/>
      <c r="P339" s="14"/>
      <c r="Q339" s="14"/>
    </row>
    <row r="340" spans="1:17" s="25" customFormat="1" ht="40.5" customHeight="1" x14ac:dyDescent="0.25">
      <c r="A340" s="8"/>
      <c r="B340" s="8"/>
      <c r="C340" s="215">
        <v>4</v>
      </c>
      <c r="D340" s="169" t="s">
        <v>729</v>
      </c>
      <c r="E340" s="149"/>
      <c r="G340" s="155"/>
      <c r="H340" s="4"/>
      <c r="M340" s="14"/>
      <c r="N340" s="14"/>
      <c r="O340" s="14"/>
      <c r="P340" s="14"/>
      <c r="Q340" s="14"/>
    </row>
    <row r="341" spans="1:17" ht="15.75" thickBot="1" x14ac:dyDescent="0.3">
      <c r="A341" s="8"/>
      <c r="B341" s="8"/>
      <c r="C341" s="508" t="s">
        <v>311</v>
      </c>
      <c r="D341" s="509"/>
      <c r="E341" s="144">
        <f>IF(E336&lt;0, "Salah Isi", IF(E336&lt;1, 1, IF(E336&lt;=4, E336, "Salah Isi")))</f>
        <v>4</v>
      </c>
      <c r="G341" s="155"/>
    </row>
    <row r="342" spans="1:17" ht="15.75" thickBot="1" x14ac:dyDescent="0.3">
      <c r="A342" s="8"/>
      <c r="B342" s="8"/>
      <c r="C342" s="138"/>
      <c r="D342" s="138"/>
      <c r="G342" s="155"/>
    </row>
    <row r="343" spans="1:17" ht="15.75" thickBot="1" x14ac:dyDescent="0.3">
      <c r="A343" s="8">
        <v>50</v>
      </c>
      <c r="B343" s="8" t="s">
        <v>91</v>
      </c>
      <c r="C343" s="170" t="s">
        <v>540</v>
      </c>
      <c r="D343" s="206"/>
      <c r="E343" s="142">
        <v>3</v>
      </c>
      <c r="G343" s="152" t="s">
        <v>995</v>
      </c>
    </row>
    <row r="344" spans="1:17" s="25" customFormat="1" x14ac:dyDescent="0.25">
      <c r="A344" s="8"/>
      <c r="B344" s="8"/>
      <c r="C344" s="171">
        <v>0</v>
      </c>
      <c r="D344" s="145" t="s">
        <v>730</v>
      </c>
      <c r="E344" s="149"/>
      <c r="G344" s="155"/>
      <c r="H344" s="4"/>
      <c r="M344" s="14"/>
      <c r="N344" s="14"/>
      <c r="O344" s="14"/>
      <c r="P344" s="14"/>
      <c r="Q344" s="14"/>
    </row>
    <row r="345" spans="1:17" s="25" customFormat="1" ht="31.5" customHeight="1" x14ac:dyDescent="0.25">
      <c r="A345" s="8"/>
      <c r="B345" s="8"/>
      <c r="C345" s="171">
        <v>1</v>
      </c>
      <c r="D345" s="145" t="s">
        <v>731</v>
      </c>
      <c r="E345" s="149"/>
      <c r="G345" s="155"/>
      <c r="H345" s="4"/>
      <c r="M345" s="14"/>
      <c r="N345" s="14"/>
      <c r="O345" s="14"/>
      <c r="P345" s="14"/>
      <c r="Q345" s="14"/>
    </row>
    <row r="346" spans="1:17" s="25" customFormat="1" ht="30.75" customHeight="1" x14ac:dyDescent="0.25">
      <c r="A346" s="8"/>
      <c r="B346" s="8"/>
      <c r="C346" s="171">
        <v>2</v>
      </c>
      <c r="D346" s="145" t="s">
        <v>732</v>
      </c>
      <c r="E346" s="149"/>
      <c r="G346" s="155"/>
      <c r="H346" s="4"/>
      <c r="M346" s="14"/>
      <c r="N346" s="14"/>
      <c r="O346" s="14"/>
      <c r="P346" s="14"/>
      <c r="Q346" s="14"/>
    </row>
    <row r="347" spans="1:17" s="25" customFormat="1" ht="26.25" x14ac:dyDescent="0.25">
      <c r="A347" s="8"/>
      <c r="B347" s="8"/>
      <c r="C347" s="171">
        <v>3</v>
      </c>
      <c r="D347" s="145" t="s">
        <v>733</v>
      </c>
      <c r="E347" s="149"/>
      <c r="G347" s="155"/>
      <c r="H347" s="4"/>
      <c r="M347" s="14"/>
      <c r="N347" s="14"/>
      <c r="O347" s="14"/>
      <c r="P347" s="14"/>
      <c r="Q347" s="14"/>
    </row>
    <row r="348" spans="1:17" s="25" customFormat="1" ht="39" x14ac:dyDescent="0.25">
      <c r="A348" s="8"/>
      <c r="B348" s="8"/>
      <c r="C348" s="171">
        <v>4</v>
      </c>
      <c r="D348" s="145" t="s">
        <v>734</v>
      </c>
      <c r="E348" s="149"/>
      <c r="G348" s="155"/>
      <c r="H348" s="4"/>
      <c r="M348" s="14"/>
      <c r="N348" s="14"/>
      <c r="O348" s="14"/>
      <c r="P348" s="14"/>
      <c r="Q348" s="14"/>
    </row>
    <row r="349" spans="1:17" ht="15.75" thickBot="1" x14ac:dyDescent="0.3">
      <c r="A349" s="8"/>
      <c r="B349" s="8"/>
      <c r="C349" s="508" t="s">
        <v>311</v>
      </c>
      <c r="D349" s="509"/>
      <c r="E349" s="144">
        <f>IF(E343&lt;0, "Salah Isi", IF(E343&lt;=4, E343, "Salah Isi"))</f>
        <v>3</v>
      </c>
      <c r="G349" s="155"/>
    </row>
    <row r="350" spans="1:17" ht="15.75" thickBot="1" x14ac:dyDescent="0.3">
      <c r="A350" s="8"/>
      <c r="B350" s="8"/>
      <c r="C350" s="138"/>
      <c r="D350" s="138"/>
      <c r="G350" s="155"/>
    </row>
    <row r="351" spans="1:17" ht="15.75" thickBot="1" x14ac:dyDescent="0.3">
      <c r="A351" s="8">
        <v>51</v>
      </c>
      <c r="B351" s="8" t="s">
        <v>93</v>
      </c>
      <c r="C351" s="170" t="s">
        <v>94</v>
      </c>
      <c r="D351" s="206"/>
      <c r="E351" s="142">
        <v>2.5</v>
      </c>
      <c r="G351" s="152" t="s">
        <v>996</v>
      </c>
    </row>
    <row r="352" spans="1:17" s="25" customFormat="1" ht="27.75" customHeight="1" x14ac:dyDescent="0.25">
      <c r="A352" s="8"/>
      <c r="B352" s="8"/>
      <c r="C352" s="171">
        <v>0</v>
      </c>
      <c r="D352" s="169" t="s">
        <v>735</v>
      </c>
      <c r="E352" s="149"/>
      <c r="G352" s="155"/>
      <c r="H352" s="4"/>
      <c r="M352" s="14"/>
      <c r="N352" s="14"/>
      <c r="O352" s="14"/>
      <c r="P352" s="14"/>
      <c r="Q352" s="14"/>
    </row>
    <row r="353" spans="1:17" s="25" customFormat="1" ht="13.5" customHeight="1" x14ac:dyDescent="0.25">
      <c r="A353" s="8"/>
      <c r="B353" s="8"/>
      <c r="C353" s="171">
        <v>1</v>
      </c>
      <c r="D353" s="169" t="s">
        <v>736</v>
      </c>
      <c r="E353" s="149"/>
      <c r="G353" s="155"/>
      <c r="H353" s="4"/>
      <c r="M353" s="14"/>
      <c r="N353" s="14"/>
      <c r="O353" s="14"/>
      <c r="P353" s="14"/>
      <c r="Q353" s="14"/>
    </row>
    <row r="354" spans="1:17" s="25" customFormat="1" ht="25.5" customHeight="1" x14ac:dyDescent="0.25">
      <c r="A354" s="8"/>
      <c r="B354" s="8"/>
      <c r="C354" s="171">
        <v>2</v>
      </c>
      <c r="D354" s="169" t="s">
        <v>737</v>
      </c>
      <c r="E354" s="149"/>
      <c r="G354" s="155"/>
      <c r="H354" s="4"/>
      <c r="M354" s="14"/>
      <c r="N354" s="14"/>
      <c r="O354" s="14"/>
      <c r="P354" s="14"/>
      <c r="Q354" s="14"/>
    </row>
    <row r="355" spans="1:17" s="25" customFormat="1" ht="13.5" customHeight="1" x14ac:dyDescent="0.25">
      <c r="A355" s="8"/>
      <c r="B355" s="8"/>
      <c r="C355" s="171">
        <v>3</v>
      </c>
      <c r="D355" s="169" t="s">
        <v>738</v>
      </c>
      <c r="E355" s="149"/>
      <c r="G355" s="155"/>
      <c r="H355" s="4"/>
      <c r="M355" s="14"/>
      <c r="N355" s="14"/>
      <c r="O355" s="14"/>
      <c r="P355" s="14"/>
      <c r="Q355" s="14"/>
    </row>
    <row r="356" spans="1:17" s="25" customFormat="1" ht="13.5" customHeight="1" x14ac:dyDescent="0.25">
      <c r="A356" s="8"/>
      <c r="B356" s="8"/>
      <c r="C356" s="171">
        <v>4</v>
      </c>
      <c r="D356" s="169" t="s">
        <v>739</v>
      </c>
      <c r="E356" s="149"/>
      <c r="G356" s="155"/>
      <c r="H356" s="4"/>
      <c r="M356" s="14"/>
      <c r="N356" s="14"/>
      <c r="O356" s="14"/>
      <c r="P356" s="14"/>
      <c r="Q356" s="14"/>
    </row>
    <row r="357" spans="1:17" ht="15.75" thickBot="1" x14ac:dyDescent="0.3">
      <c r="A357" s="8"/>
      <c r="B357" s="8"/>
      <c r="C357" s="508" t="s">
        <v>311</v>
      </c>
      <c r="D357" s="509"/>
      <c r="E357" s="144">
        <f>IF(E351&lt;0, "Salah Isi", IF(E351&lt;=4, E351, "Salah Isi"))</f>
        <v>2.5</v>
      </c>
      <c r="G357" s="155"/>
    </row>
    <row r="358" spans="1:17" ht="15.75" thickBot="1" x14ac:dyDescent="0.3">
      <c r="A358" s="8"/>
      <c r="B358" s="8"/>
      <c r="C358" s="138"/>
      <c r="D358" s="138"/>
      <c r="G358" s="155"/>
    </row>
    <row r="359" spans="1:17" ht="27.75" customHeight="1" thickBot="1" x14ac:dyDescent="0.3">
      <c r="A359" s="8">
        <v>52</v>
      </c>
      <c r="B359" s="8" t="s">
        <v>95</v>
      </c>
      <c r="C359" s="498" t="s">
        <v>541</v>
      </c>
      <c r="D359" s="499"/>
      <c r="E359" s="142">
        <v>3</v>
      </c>
      <c r="G359" s="152" t="s">
        <v>997</v>
      </c>
    </row>
    <row r="360" spans="1:17" s="25" customFormat="1" ht="14.25" customHeight="1" x14ac:dyDescent="0.25">
      <c r="A360" s="8"/>
      <c r="B360" s="8"/>
      <c r="C360" s="246">
        <v>0</v>
      </c>
      <c r="D360" s="169" t="s">
        <v>744</v>
      </c>
      <c r="E360" s="149"/>
      <c r="G360" s="155"/>
      <c r="H360" s="4"/>
      <c r="M360" s="14"/>
      <c r="N360" s="14"/>
      <c r="O360" s="14"/>
      <c r="P360" s="14"/>
      <c r="Q360" s="14"/>
    </row>
    <row r="361" spans="1:17" s="25" customFormat="1" ht="14.25" customHeight="1" x14ac:dyDescent="0.25">
      <c r="A361" s="8"/>
      <c r="B361" s="8"/>
      <c r="C361" s="246">
        <v>1</v>
      </c>
      <c r="D361" s="169" t="s">
        <v>740</v>
      </c>
      <c r="E361" s="149"/>
      <c r="G361" s="155"/>
      <c r="H361" s="4"/>
      <c r="M361" s="14"/>
      <c r="N361" s="14"/>
      <c r="O361" s="14"/>
      <c r="P361" s="14"/>
      <c r="Q361" s="14"/>
    </row>
    <row r="362" spans="1:17" s="25" customFormat="1" ht="26.25" customHeight="1" x14ac:dyDescent="0.25">
      <c r="A362" s="8"/>
      <c r="B362" s="8"/>
      <c r="C362" s="246">
        <v>2</v>
      </c>
      <c r="D362" s="169" t="s">
        <v>741</v>
      </c>
      <c r="E362" s="149"/>
      <c r="G362" s="155"/>
      <c r="H362" s="4"/>
      <c r="M362" s="14"/>
      <c r="N362" s="14"/>
      <c r="O362" s="14"/>
      <c r="P362" s="14"/>
      <c r="Q362" s="14"/>
    </row>
    <row r="363" spans="1:17" s="25" customFormat="1" ht="26.25" customHeight="1" x14ac:dyDescent="0.25">
      <c r="A363" s="8"/>
      <c r="B363" s="8"/>
      <c r="C363" s="246">
        <v>3</v>
      </c>
      <c r="D363" s="169" t="s">
        <v>742</v>
      </c>
      <c r="E363" s="149"/>
      <c r="G363" s="155"/>
      <c r="H363" s="4"/>
      <c r="M363" s="14"/>
      <c r="N363" s="14"/>
      <c r="O363" s="14"/>
      <c r="P363" s="14"/>
      <c r="Q363" s="14"/>
    </row>
    <row r="364" spans="1:17" s="25" customFormat="1" ht="26.25" customHeight="1" x14ac:dyDescent="0.25">
      <c r="A364" s="8"/>
      <c r="B364" s="8"/>
      <c r="C364" s="246">
        <v>4</v>
      </c>
      <c r="D364" s="169" t="s">
        <v>743</v>
      </c>
      <c r="E364" s="149"/>
      <c r="G364" s="155"/>
      <c r="H364" s="4"/>
      <c r="M364" s="14"/>
      <c r="N364" s="14"/>
      <c r="O364" s="14"/>
      <c r="P364" s="14"/>
      <c r="Q364" s="14"/>
    </row>
    <row r="365" spans="1:17" ht="15.75" thickBot="1" x14ac:dyDescent="0.3">
      <c r="A365" s="8"/>
      <c r="B365" s="8"/>
      <c r="C365" s="508" t="s">
        <v>311</v>
      </c>
      <c r="D365" s="509"/>
      <c r="E365" s="144">
        <f>IF(E359&lt;0, "Salah Isi", IF(E359&lt;=4, E359, "Salah Isi"))</f>
        <v>3</v>
      </c>
      <c r="G365" s="155"/>
    </row>
    <row r="366" spans="1:17" ht="15.75" thickBot="1" x14ac:dyDescent="0.3">
      <c r="A366" s="8"/>
      <c r="B366" s="8"/>
      <c r="C366" s="138"/>
      <c r="D366" s="138"/>
      <c r="G366" s="155"/>
    </row>
    <row r="367" spans="1:17" s="25" customFormat="1" ht="39.75" customHeight="1" thickBot="1" x14ac:dyDescent="0.3">
      <c r="A367" s="126">
        <v>53</v>
      </c>
      <c r="B367" s="126" t="s">
        <v>97</v>
      </c>
      <c r="C367" s="500" t="s">
        <v>998</v>
      </c>
      <c r="D367" s="501"/>
      <c r="E367" s="167"/>
      <c r="G367" s="152" t="str">
        <f>C367&amp;" = ("&amp;E368&amp;"/"&amp;E369&amp;") x 100% = "&amp;TEXT(E370,"0,00%")</f>
        <v>Persentase mata kuliah  yang dalam penentuan nilai akhirnya memberikan bobot pada tugas-tugas (prektikum/praktek, PR atau makalah) ≥ 20% = (98/100) x 100% = 098%</v>
      </c>
      <c r="H367" s="4"/>
      <c r="M367" s="14"/>
      <c r="N367" s="14"/>
      <c r="O367" s="14"/>
      <c r="P367" s="14"/>
      <c r="Q367" s="14"/>
    </row>
    <row r="368" spans="1:17" x14ac:dyDescent="0.25">
      <c r="C368" s="242" t="s">
        <v>412</v>
      </c>
      <c r="D368" s="189"/>
      <c r="E368" s="163">
        <v>98</v>
      </c>
      <c r="F368" s="84"/>
      <c r="G368" s="155"/>
    </row>
    <row r="369" spans="1:17" x14ac:dyDescent="0.25">
      <c r="A369" s="126"/>
      <c r="B369" s="126"/>
      <c r="C369" s="245" t="s">
        <v>413</v>
      </c>
      <c r="D369" s="227"/>
      <c r="E369" s="163">
        <v>100</v>
      </c>
      <c r="F369" s="85"/>
      <c r="G369" s="155"/>
    </row>
    <row r="370" spans="1:17" x14ac:dyDescent="0.25">
      <c r="A370" s="126"/>
      <c r="B370" s="126"/>
      <c r="C370" s="236" t="s">
        <v>369</v>
      </c>
      <c r="D370" s="237" t="s">
        <v>411</v>
      </c>
      <c r="E370" s="164">
        <f>E368/E369</f>
        <v>0.98</v>
      </c>
      <c r="F370" s="77"/>
      <c r="G370" s="155"/>
    </row>
    <row r="371" spans="1:17" ht="15.75" thickBot="1" x14ac:dyDescent="0.3">
      <c r="A371" s="126"/>
      <c r="B371" s="126"/>
      <c r="C371" s="228" t="s">
        <v>311</v>
      </c>
      <c r="D371" s="229"/>
      <c r="E371" s="144">
        <f>IF(E370&gt;=50%, 4, 8*E370)</f>
        <v>4</v>
      </c>
      <c r="F371" s="77"/>
      <c r="G371" s="155"/>
    </row>
    <row r="372" spans="1:17" ht="15.75" thickBot="1" x14ac:dyDescent="0.3">
      <c r="A372" s="126"/>
      <c r="B372" s="126"/>
      <c r="C372" s="204"/>
      <c r="D372" s="204"/>
      <c r="E372" s="77"/>
      <c r="F372" s="77"/>
      <c r="G372" s="155"/>
    </row>
    <row r="373" spans="1:17" s="25" customFormat="1" ht="15.75" thickBot="1" x14ac:dyDescent="0.3">
      <c r="A373" s="126">
        <v>54</v>
      </c>
      <c r="B373" s="126" t="s">
        <v>98</v>
      </c>
      <c r="C373" s="170" t="s">
        <v>745</v>
      </c>
      <c r="D373" s="187"/>
      <c r="E373" s="162"/>
      <c r="F373" s="77"/>
      <c r="G373" s="152" t="str">
        <f>C376&amp;" = ("&amp;E374&amp;"/"&amp;E375&amp;") x 100% = "&amp;TEXT(E376,"0,00%")</f>
        <v>Persentase mata kuliah yang memiliki deskripsi, silabus dan SAP = (75/100) x 100% = 075%</v>
      </c>
      <c r="H373" s="4"/>
      <c r="M373" s="14"/>
      <c r="N373" s="14"/>
      <c r="O373" s="14"/>
      <c r="P373" s="14"/>
      <c r="Q373" s="14"/>
    </row>
    <row r="374" spans="1:17" x14ac:dyDescent="0.25">
      <c r="C374" s="230" t="s">
        <v>746</v>
      </c>
      <c r="D374" s="231"/>
      <c r="E374" s="163">
        <v>75</v>
      </c>
      <c r="F374" s="77"/>
      <c r="G374" s="155"/>
    </row>
    <row r="375" spans="1:17" x14ac:dyDescent="0.25">
      <c r="A375" s="126"/>
      <c r="B375" s="126"/>
      <c r="C375" s="230" t="s">
        <v>414</v>
      </c>
      <c r="D375" s="231"/>
      <c r="E375" s="163">
        <v>100</v>
      </c>
      <c r="F375" s="77"/>
      <c r="G375" s="155"/>
    </row>
    <row r="376" spans="1:17" x14ac:dyDescent="0.25">
      <c r="A376" s="126"/>
      <c r="B376" s="126"/>
      <c r="C376" s="247" t="s">
        <v>999</v>
      </c>
      <c r="D376" s="231"/>
      <c r="E376" s="164">
        <f>IF(E374&gt;E375, "Salah Isi", E374/E375*100%)</f>
        <v>0.75</v>
      </c>
      <c r="F376" s="77"/>
      <c r="G376" s="155"/>
    </row>
    <row r="377" spans="1:17" ht="15.75" thickBot="1" x14ac:dyDescent="0.3">
      <c r="A377" s="126"/>
      <c r="B377" s="126"/>
      <c r="C377" s="232" t="s">
        <v>311</v>
      </c>
      <c r="D377" s="233"/>
      <c r="E377" s="144">
        <f>IF(E376&lt;=55%, 0, IF(E376&lt;95%, 10*(E376-55%),4))</f>
        <v>1.9999999999999996</v>
      </c>
      <c r="F377" s="77"/>
      <c r="G377" s="155"/>
    </row>
    <row r="378" spans="1:17" ht="15.75" thickBot="1" x14ac:dyDescent="0.3">
      <c r="A378" s="126"/>
      <c r="B378" s="126"/>
      <c r="C378" s="204"/>
      <c r="D378" s="204"/>
      <c r="E378" s="77"/>
      <c r="F378" s="77"/>
      <c r="G378" s="155"/>
    </row>
    <row r="379" spans="1:17" s="25" customFormat="1" ht="15.75" thickBot="1" x14ac:dyDescent="0.3">
      <c r="A379" s="126">
        <v>55</v>
      </c>
      <c r="B379" s="126" t="s">
        <v>100</v>
      </c>
      <c r="C379" s="170" t="s">
        <v>747</v>
      </c>
      <c r="D379" s="187"/>
      <c r="E379" s="162"/>
      <c r="F379" s="77"/>
      <c r="G379" s="152" t="str">
        <f>C382&amp;" = ("&amp;E381&amp;"/"&amp;E380&amp;") = "&amp;TEXT(E382,"0,00")&amp;" kali."</f>
        <v>Rasio sks mata kuliah pilihan yang disediakan terhadap jumlah sks yang diwajibkan = (24/10) = 002 kali.</v>
      </c>
      <c r="H379" s="4"/>
      <c r="M379" s="14"/>
      <c r="N379" s="14"/>
      <c r="O379" s="14"/>
      <c r="P379" s="14"/>
      <c r="Q379" s="14"/>
    </row>
    <row r="380" spans="1:17" x14ac:dyDescent="0.25">
      <c r="C380" s="205" t="s">
        <v>415</v>
      </c>
      <c r="D380" s="208"/>
      <c r="E380" s="163">
        <v>10</v>
      </c>
      <c r="F380" s="84"/>
      <c r="G380" s="155"/>
    </row>
    <row r="381" spans="1:17" x14ac:dyDescent="0.25">
      <c r="A381" s="126"/>
      <c r="B381" s="126"/>
      <c r="C381" s="205" t="s">
        <v>379</v>
      </c>
      <c r="D381" s="208"/>
      <c r="E381" s="163">
        <v>24</v>
      </c>
      <c r="F381" s="84"/>
      <c r="G381" s="155"/>
    </row>
    <row r="382" spans="1:17" ht="26.25" customHeight="1" x14ac:dyDescent="0.25">
      <c r="A382" s="126"/>
      <c r="B382" s="126"/>
      <c r="C382" s="551" t="s">
        <v>1000</v>
      </c>
      <c r="D382" s="552"/>
      <c r="E382" s="164">
        <f>IF(E380&gt;E381, "Salah Isi", E381/E380)</f>
        <v>2.4</v>
      </c>
      <c r="F382" s="84"/>
      <c r="G382" s="155"/>
    </row>
    <row r="383" spans="1:17" ht="15.75" thickBot="1" x14ac:dyDescent="0.3">
      <c r="A383" s="126"/>
      <c r="B383" s="126"/>
      <c r="C383" s="232" t="s">
        <v>311</v>
      </c>
      <c r="D383" s="233"/>
      <c r="E383" s="144">
        <f>IF(E380&gt;=9, IF(E382&gt;=2, 4, 2*E382),2)</f>
        <v>4</v>
      </c>
      <c r="F383" s="77"/>
      <c r="G383" s="155"/>
    </row>
    <row r="384" spans="1:17" ht="15.75" thickBot="1" x14ac:dyDescent="0.3">
      <c r="A384" s="126"/>
      <c r="B384" s="126"/>
      <c r="C384" s="204"/>
      <c r="D384" s="204"/>
      <c r="E384" s="77"/>
      <c r="F384" s="77"/>
      <c r="G384" s="155"/>
    </row>
    <row r="385" spans="1:17" ht="15.75" thickBot="1" x14ac:dyDescent="0.3">
      <c r="A385" s="8">
        <v>56</v>
      </c>
      <c r="B385" s="8" t="s">
        <v>102</v>
      </c>
      <c r="C385" s="170" t="s">
        <v>103</v>
      </c>
      <c r="D385" s="206"/>
      <c r="E385" s="142">
        <v>1</v>
      </c>
      <c r="G385" s="152" t="s">
        <v>103</v>
      </c>
    </row>
    <row r="386" spans="1:17" s="25" customFormat="1" x14ac:dyDescent="0.25">
      <c r="A386" s="8"/>
      <c r="B386" s="8"/>
      <c r="C386" s="171">
        <v>1</v>
      </c>
      <c r="D386" s="147" t="s">
        <v>748</v>
      </c>
      <c r="E386" s="149"/>
      <c r="G386" s="155"/>
      <c r="H386" s="4"/>
      <c r="M386" s="14"/>
      <c r="N386" s="14"/>
      <c r="O386" s="14"/>
      <c r="P386" s="14"/>
      <c r="Q386" s="14"/>
    </row>
    <row r="387" spans="1:17" s="25" customFormat="1" ht="26.25" x14ac:dyDescent="0.25">
      <c r="A387" s="8"/>
      <c r="B387" s="8"/>
      <c r="C387" s="171">
        <v>2</v>
      </c>
      <c r="D387" s="147" t="s">
        <v>749</v>
      </c>
      <c r="E387" s="149"/>
      <c r="G387" s="155"/>
      <c r="H387" s="4"/>
      <c r="M387" s="14"/>
      <c r="N387" s="14"/>
      <c r="O387" s="14"/>
      <c r="P387" s="14"/>
      <c r="Q387" s="14"/>
    </row>
    <row r="388" spans="1:17" s="25" customFormat="1" ht="26.25" x14ac:dyDescent="0.25">
      <c r="A388" s="8"/>
      <c r="B388" s="8"/>
      <c r="C388" s="171">
        <v>3</v>
      </c>
      <c r="D388" s="147" t="s">
        <v>750</v>
      </c>
      <c r="E388" s="149"/>
      <c r="G388" s="155"/>
      <c r="H388" s="4"/>
      <c r="M388" s="14"/>
      <c r="N388" s="14"/>
      <c r="O388" s="14"/>
      <c r="P388" s="14"/>
      <c r="Q388" s="14"/>
    </row>
    <row r="389" spans="1:17" s="25" customFormat="1" ht="26.25" x14ac:dyDescent="0.25">
      <c r="A389" s="8"/>
      <c r="B389" s="8"/>
      <c r="C389" s="171">
        <v>4</v>
      </c>
      <c r="D389" s="147" t="s">
        <v>751</v>
      </c>
      <c r="E389" s="149"/>
      <c r="G389" s="155"/>
      <c r="H389" s="4"/>
      <c r="M389" s="14"/>
      <c r="N389" s="14"/>
      <c r="O389" s="14"/>
      <c r="P389" s="14"/>
      <c r="Q389" s="14"/>
    </row>
    <row r="390" spans="1:17" ht="15.75" thickBot="1" x14ac:dyDescent="0.3">
      <c r="A390" s="8"/>
      <c r="B390" s="8"/>
      <c r="C390" s="508" t="s">
        <v>311</v>
      </c>
      <c r="D390" s="509"/>
      <c r="E390" s="144">
        <f>IF(E385&lt;0, "Salah Isi", IF(E385&lt;1, 1, IF(E385&lt;=4, E385, "Salah Isi")))</f>
        <v>1</v>
      </c>
      <c r="G390" s="155"/>
    </row>
    <row r="391" spans="1:17" ht="15.75" thickBot="1" x14ac:dyDescent="0.3">
      <c r="A391" s="8"/>
      <c r="B391" s="8"/>
      <c r="C391" s="138"/>
      <c r="D391" s="138"/>
      <c r="G391" s="155"/>
    </row>
    <row r="392" spans="1:17" ht="15.75" thickBot="1" x14ac:dyDescent="0.3">
      <c r="A392" s="8">
        <v>57</v>
      </c>
      <c r="B392" s="8" t="s">
        <v>104</v>
      </c>
      <c r="C392" s="160" t="s">
        <v>105</v>
      </c>
      <c r="D392" s="206"/>
      <c r="E392" s="142">
        <v>2</v>
      </c>
      <c r="G392" s="152" t="s">
        <v>1001</v>
      </c>
    </row>
    <row r="393" spans="1:17" s="25" customFormat="1" ht="26.25" x14ac:dyDescent="0.25">
      <c r="A393" s="8"/>
      <c r="B393" s="8"/>
      <c r="C393" s="166">
        <v>0</v>
      </c>
      <c r="D393" s="248" t="s">
        <v>752</v>
      </c>
      <c r="E393" s="149"/>
      <c r="G393" s="155"/>
      <c r="H393" s="4"/>
      <c r="M393" s="14"/>
      <c r="N393" s="14"/>
      <c r="O393" s="14"/>
      <c r="P393" s="14"/>
      <c r="Q393" s="14"/>
    </row>
    <row r="394" spans="1:17" s="25" customFormat="1" ht="26.25" x14ac:dyDescent="0.25">
      <c r="A394" s="8"/>
      <c r="B394" s="8"/>
      <c r="C394" s="166">
        <v>1</v>
      </c>
      <c r="D394" s="248" t="s">
        <v>753</v>
      </c>
      <c r="E394" s="149"/>
      <c r="G394" s="155"/>
      <c r="H394" s="4"/>
      <c r="M394" s="14"/>
      <c r="N394" s="14"/>
      <c r="O394" s="14"/>
      <c r="P394" s="14"/>
      <c r="Q394" s="14"/>
    </row>
    <row r="395" spans="1:17" s="25" customFormat="1" ht="26.25" x14ac:dyDescent="0.25">
      <c r="A395" s="8"/>
      <c r="B395" s="8"/>
      <c r="C395" s="166">
        <v>2</v>
      </c>
      <c r="D395" s="248" t="s">
        <v>754</v>
      </c>
      <c r="E395" s="149"/>
      <c r="G395" s="155"/>
      <c r="H395" s="4"/>
      <c r="M395" s="14"/>
      <c r="N395" s="14"/>
      <c r="O395" s="14"/>
      <c r="P395" s="14"/>
      <c r="Q395" s="14"/>
    </row>
    <row r="396" spans="1:17" s="25" customFormat="1" ht="51.75" x14ac:dyDescent="0.25">
      <c r="A396" s="8"/>
      <c r="B396" s="8"/>
      <c r="C396" s="166">
        <v>3</v>
      </c>
      <c r="D396" s="248" t="s">
        <v>755</v>
      </c>
      <c r="E396" s="149"/>
      <c r="G396" s="155"/>
      <c r="H396" s="4"/>
      <c r="M396" s="14"/>
      <c r="N396" s="14"/>
      <c r="O396" s="14"/>
      <c r="P396" s="14"/>
      <c r="Q396" s="14"/>
    </row>
    <row r="397" spans="1:17" s="25" customFormat="1" ht="39" x14ac:dyDescent="0.25">
      <c r="A397" s="8"/>
      <c r="B397" s="8"/>
      <c r="C397" s="166">
        <v>4</v>
      </c>
      <c r="D397" s="248" t="s">
        <v>756</v>
      </c>
      <c r="E397" s="149"/>
      <c r="G397" s="155"/>
      <c r="H397" s="4"/>
      <c r="M397" s="14"/>
      <c r="N397" s="14"/>
      <c r="O397" s="14"/>
      <c r="P397" s="14"/>
      <c r="Q397" s="14"/>
    </row>
    <row r="398" spans="1:17" ht="15.75" thickBot="1" x14ac:dyDescent="0.3">
      <c r="A398" s="8"/>
      <c r="B398" s="8"/>
      <c r="C398" s="508" t="s">
        <v>311</v>
      </c>
      <c r="D398" s="509"/>
      <c r="E398" s="144">
        <f>IF(E392&lt;0, "Salah Isi", IF(E392&lt;=4, E392, "Salah Isi"))</f>
        <v>2</v>
      </c>
      <c r="G398" s="155"/>
    </row>
    <row r="399" spans="1:17" ht="15.75" thickBot="1" x14ac:dyDescent="0.3">
      <c r="A399" s="8"/>
      <c r="B399" s="8"/>
      <c r="C399" s="138"/>
      <c r="D399" s="138"/>
      <c r="G399" s="155"/>
    </row>
    <row r="400" spans="1:17" ht="29.25" customHeight="1" thickBot="1" x14ac:dyDescent="0.3">
      <c r="A400" s="8">
        <v>58</v>
      </c>
      <c r="B400" s="8" t="s">
        <v>106</v>
      </c>
      <c r="C400" s="500" t="s">
        <v>107</v>
      </c>
      <c r="D400" s="501"/>
      <c r="E400" s="142">
        <v>0</v>
      </c>
      <c r="G400" s="152" t="s">
        <v>1002</v>
      </c>
    </row>
    <row r="401" spans="1:17" s="25" customFormat="1" ht="13.5" customHeight="1" x14ac:dyDescent="0.25">
      <c r="A401" s="8"/>
      <c r="B401" s="8"/>
      <c r="C401" s="215">
        <v>0</v>
      </c>
      <c r="D401" s="169" t="s">
        <v>758</v>
      </c>
      <c r="E401" s="149"/>
      <c r="G401" s="155"/>
      <c r="H401" s="4"/>
      <c r="M401" s="14"/>
      <c r="N401" s="14"/>
      <c r="O401" s="14"/>
      <c r="P401" s="14"/>
      <c r="Q401" s="14"/>
    </row>
    <row r="402" spans="1:17" s="25" customFormat="1" ht="13.5" customHeight="1" x14ac:dyDescent="0.25">
      <c r="A402" s="8"/>
      <c r="B402" s="8"/>
      <c r="C402" s="215">
        <v>1</v>
      </c>
      <c r="D402" s="169" t="s">
        <v>757</v>
      </c>
      <c r="E402" s="149"/>
      <c r="G402" s="155"/>
      <c r="H402" s="4"/>
      <c r="M402" s="14"/>
      <c r="N402" s="14"/>
      <c r="O402" s="14"/>
      <c r="P402" s="14"/>
      <c r="Q402" s="14"/>
    </row>
    <row r="403" spans="1:17" s="25" customFormat="1" ht="25.5" customHeight="1" x14ac:dyDescent="0.25">
      <c r="A403" s="8"/>
      <c r="B403" s="8"/>
      <c r="C403" s="215">
        <v>2</v>
      </c>
      <c r="D403" s="169" t="s">
        <v>759</v>
      </c>
      <c r="E403" s="149"/>
      <c r="G403" s="155"/>
      <c r="H403" s="4"/>
      <c r="M403" s="14"/>
      <c r="N403" s="14"/>
      <c r="O403" s="14"/>
      <c r="P403" s="14"/>
      <c r="Q403" s="14"/>
    </row>
    <row r="404" spans="1:17" s="25" customFormat="1" ht="39.75" customHeight="1" x14ac:dyDescent="0.25">
      <c r="A404" s="8"/>
      <c r="B404" s="8"/>
      <c r="C404" s="215">
        <v>3</v>
      </c>
      <c r="D404" s="169" t="s">
        <v>760</v>
      </c>
      <c r="E404" s="149"/>
      <c r="G404" s="155"/>
      <c r="H404" s="4"/>
      <c r="M404" s="14"/>
      <c r="N404" s="14"/>
      <c r="O404" s="14"/>
      <c r="P404" s="14"/>
      <c r="Q404" s="14"/>
    </row>
    <row r="405" spans="1:17" s="25" customFormat="1" ht="40.5" customHeight="1" x14ac:dyDescent="0.25">
      <c r="A405" s="8"/>
      <c r="B405" s="8"/>
      <c r="C405" s="215">
        <v>4</v>
      </c>
      <c r="D405" s="169" t="s">
        <v>761</v>
      </c>
      <c r="E405" s="149"/>
      <c r="G405" s="155"/>
      <c r="H405" s="4"/>
      <c r="M405" s="14"/>
      <c r="N405" s="14"/>
      <c r="O405" s="14"/>
      <c r="P405" s="14"/>
      <c r="Q405" s="14"/>
    </row>
    <row r="406" spans="1:17" ht="15.75" thickBot="1" x14ac:dyDescent="0.3">
      <c r="A406" s="8"/>
      <c r="B406" s="8"/>
      <c r="C406" s="508" t="s">
        <v>311</v>
      </c>
      <c r="D406" s="509"/>
      <c r="E406" s="144">
        <f>IF(E400&lt;0, "Salah Isi", IF(E400=1,"Tidak ada skor 1", IF(E400&lt;=4, E400, "Salah Isi")))</f>
        <v>0</v>
      </c>
      <c r="G406" s="155"/>
    </row>
    <row r="407" spans="1:17" ht="15.75" thickBot="1" x14ac:dyDescent="0.3">
      <c r="A407" s="8"/>
      <c r="B407" s="8"/>
      <c r="C407" s="138"/>
      <c r="D407" s="138"/>
      <c r="G407" s="155"/>
    </row>
    <row r="408" spans="1:17" s="25" customFormat="1" ht="41.25" customHeight="1" thickBot="1" x14ac:dyDescent="0.3">
      <c r="A408" s="126">
        <v>59</v>
      </c>
      <c r="B408" s="126" t="s">
        <v>108</v>
      </c>
      <c r="C408" s="498" t="s">
        <v>762</v>
      </c>
      <c r="D408" s="499"/>
      <c r="E408" s="167"/>
      <c r="G408" s="152" t="s">
        <v>1003</v>
      </c>
      <c r="H408" s="4"/>
      <c r="M408" s="14"/>
      <c r="N408" s="14"/>
      <c r="O408" s="14"/>
      <c r="P408" s="14"/>
      <c r="Q408" s="14"/>
    </row>
    <row r="409" spans="1:17" x14ac:dyDescent="0.25">
      <c r="C409" s="188" t="s">
        <v>416</v>
      </c>
      <c r="D409" s="189"/>
      <c r="E409" s="163">
        <v>3</v>
      </c>
      <c r="F409" s="77"/>
      <c r="G409" s="155"/>
    </row>
    <row r="410" spans="1:17" x14ac:dyDescent="0.25">
      <c r="A410" s="126"/>
      <c r="B410" s="126"/>
      <c r="C410" s="188" t="s">
        <v>314</v>
      </c>
      <c r="D410" s="189"/>
      <c r="E410" s="164">
        <f>IF(E409&lt;3,"Salah Isi", IF(E409&lt;=12, E409/3,"Salah Isi"))</f>
        <v>1</v>
      </c>
      <c r="F410" s="77"/>
      <c r="G410" s="155"/>
    </row>
    <row r="411" spans="1:17" ht="15.75" thickBot="1" x14ac:dyDescent="0.3">
      <c r="A411" s="126"/>
      <c r="B411" s="126"/>
      <c r="C411" s="228" t="s">
        <v>311</v>
      </c>
      <c r="D411" s="229"/>
      <c r="E411" s="144">
        <f>IF(E409&lt;3,"Salah Isi", IF(E409&lt;=12, E410, "Salah Isi"))</f>
        <v>1</v>
      </c>
      <c r="F411" s="77"/>
      <c r="G411" s="155"/>
    </row>
    <row r="412" spans="1:17" ht="15.75" thickBot="1" x14ac:dyDescent="0.3">
      <c r="A412" s="8"/>
      <c r="B412" s="8"/>
      <c r="C412" s="138"/>
      <c r="D412" s="138"/>
      <c r="G412" s="155"/>
    </row>
    <row r="413" spans="1:17" ht="15.75" thickBot="1" x14ac:dyDescent="0.3">
      <c r="A413" s="8">
        <v>60</v>
      </c>
      <c r="B413" s="8" t="s">
        <v>109</v>
      </c>
      <c r="C413" s="170" t="s">
        <v>110</v>
      </c>
      <c r="D413" s="206"/>
      <c r="E413" s="142">
        <v>1</v>
      </c>
      <c r="G413" s="152" t="s">
        <v>1004</v>
      </c>
    </row>
    <row r="414" spans="1:17" s="25" customFormat="1" x14ac:dyDescent="0.25">
      <c r="A414" s="8"/>
      <c r="B414" s="8"/>
      <c r="C414" s="171">
        <v>0</v>
      </c>
      <c r="D414" s="248" t="s">
        <v>763</v>
      </c>
      <c r="E414" s="149"/>
      <c r="G414" s="155"/>
      <c r="H414" s="4"/>
      <c r="M414" s="14"/>
      <c r="N414" s="14"/>
      <c r="O414" s="14"/>
      <c r="P414" s="14"/>
      <c r="Q414" s="14"/>
    </row>
    <row r="415" spans="1:17" s="25" customFormat="1" ht="26.25" x14ac:dyDescent="0.25">
      <c r="A415" s="8"/>
      <c r="B415" s="8"/>
      <c r="C415" s="171">
        <v>1</v>
      </c>
      <c r="D415" s="248" t="s">
        <v>764</v>
      </c>
      <c r="E415" s="149"/>
      <c r="G415" s="155"/>
      <c r="H415" s="4"/>
      <c r="M415" s="14"/>
      <c r="N415" s="14"/>
      <c r="O415" s="14"/>
      <c r="P415" s="14"/>
      <c r="Q415" s="14"/>
    </row>
    <row r="416" spans="1:17" s="25" customFormat="1" ht="26.25" x14ac:dyDescent="0.25">
      <c r="A416" s="8"/>
      <c r="B416" s="8"/>
      <c r="C416" s="171">
        <v>2</v>
      </c>
      <c r="D416" s="248" t="s">
        <v>765</v>
      </c>
      <c r="E416" s="149"/>
      <c r="G416" s="155"/>
      <c r="H416" s="4"/>
      <c r="M416" s="14"/>
      <c r="N416" s="14"/>
      <c r="O416" s="14"/>
      <c r="P416" s="14"/>
      <c r="Q416" s="14"/>
    </row>
    <row r="417" spans="1:17" s="25" customFormat="1" ht="31.5" customHeight="1" x14ac:dyDescent="0.25">
      <c r="A417" s="8"/>
      <c r="B417" s="8"/>
      <c r="C417" s="171">
        <v>3</v>
      </c>
      <c r="D417" s="248" t="s">
        <v>766</v>
      </c>
      <c r="E417" s="149"/>
      <c r="G417" s="155"/>
      <c r="H417" s="4"/>
      <c r="M417" s="14"/>
      <c r="N417" s="14"/>
      <c r="O417" s="14"/>
      <c r="P417" s="14"/>
      <c r="Q417" s="14"/>
    </row>
    <row r="418" spans="1:17" s="25" customFormat="1" ht="39" x14ac:dyDescent="0.25">
      <c r="A418" s="8"/>
      <c r="B418" s="8"/>
      <c r="C418" s="171">
        <v>4</v>
      </c>
      <c r="D418" s="248" t="s">
        <v>767</v>
      </c>
      <c r="E418" s="149"/>
      <c r="G418" s="155"/>
      <c r="H418" s="4"/>
      <c r="M418" s="14"/>
      <c r="N418" s="14"/>
      <c r="O418" s="14"/>
      <c r="P418" s="14"/>
      <c r="Q418" s="14"/>
    </row>
    <row r="419" spans="1:17" ht="15.75" thickBot="1" x14ac:dyDescent="0.3">
      <c r="A419" s="8"/>
      <c r="B419" s="8"/>
      <c r="C419" s="508" t="s">
        <v>311</v>
      </c>
      <c r="D419" s="509"/>
      <c r="E419" s="144">
        <f>IF(E413&lt;0, "Salah Isi", IF(E413&lt;=4, E413, "Salah Isi"))</f>
        <v>1</v>
      </c>
      <c r="G419" s="155"/>
    </row>
    <row r="420" spans="1:17" ht="15.75" thickBot="1" x14ac:dyDescent="0.3">
      <c r="A420" s="8"/>
      <c r="B420" s="8"/>
      <c r="C420" s="138"/>
      <c r="D420" s="138"/>
      <c r="G420" s="155"/>
    </row>
    <row r="421" spans="1:17" ht="15.75" thickBot="1" x14ac:dyDescent="0.3">
      <c r="A421" s="8">
        <v>61</v>
      </c>
      <c r="B421" s="8" t="s">
        <v>111</v>
      </c>
      <c r="C421" s="170" t="s">
        <v>112</v>
      </c>
      <c r="D421" s="206"/>
      <c r="E421" s="142">
        <v>2</v>
      </c>
      <c r="G421" s="152" t="s">
        <v>112</v>
      </c>
    </row>
    <row r="422" spans="1:17" s="25" customFormat="1" ht="26.25" x14ac:dyDescent="0.25">
      <c r="A422" s="8"/>
      <c r="B422" s="8"/>
      <c r="C422" s="171">
        <v>0</v>
      </c>
      <c r="D422" s="147" t="s">
        <v>768</v>
      </c>
      <c r="E422" s="149"/>
      <c r="G422" s="155"/>
      <c r="H422" s="4"/>
      <c r="M422" s="14"/>
      <c r="N422" s="14"/>
      <c r="O422" s="14"/>
      <c r="P422" s="14"/>
      <c r="Q422" s="14"/>
    </row>
    <row r="423" spans="1:17" s="25" customFormat="1" ht="26.25" x14ac:dyDescent="0.25">
      <c r="A423" s="8"/>
      <c r="B423" s="8"/>
      <c r="C423" s="171">
        <v>1</v>
      </c>
      <c r="D423" s="147" t="s">
        <v>769</v>
      </c>
      <c r="E423" s="149"/>
      <c r="G423" s="155"/>
      <c r="H423" s="4"/>
      <c r="M423" s="14"/>
      <c r="N423" s="14"/>
      <c r="O423" s="14"/>
      <c r="P423" s="14"/>
      <c r="Q423" s="14"/>
    </row>
    <row r="424" spans="1:17" s="25" customFormat="1" ht="26.25" x14ac:dyDescent="0.25">
      <c r="A424" s="8"/>
      <c r="B424" s="8"/>
      <c r="C424" s="171">
        <v>2</v>
      </c>
      <c r="D424" s="147" t="s">
        <v>770</v>
      </c>
      <c r="E424" s="149"/>
      <c r="G424" s="155"/>
      <c r="H424" s="4"/>
      <c r="M424" s="14"/>
      <c r="N424" s="14"/>
      <c r="O424" s="14"/>
      <c r="P424" s="14"/>
      <c r="Q424" s="14"/>
    </row>
    <row r="425" spans="1:17" s="25" customFormat="1" ht="26.25" x14ac:dyDescent="0.25">
      <c r="A425" s="8"/>
      <c r="B425" s="8"/>
      <c r="C425" s="171">
        <v>3</v>
      </c>
      <c r="D425" s="147" t="s">
        <v>771</v>
      </c>
      <c r="E425" s="149"/>
      <c r="G425" s="155"/>
      <c r="H425" s="4"/>
      <c r="M425" s="14"/>
      <c r="N425" s="14"/>
      <c r="O425" s="14"/>
      <c r="P425" s="14"/>
      <c r="Q425" s="14"/>
    </row>
    <row r="426" spans="1:17" s="25" customFormat="1" ht="26.25" x14ac:dyDescent="0.25">
      <c r="A426" s="8"/>
      <c r="B426" s="8"/>
      <c r="C426" s="171">
        <v>4</v>
      </c>
      <c r="D426" s="147" t="s">
        <v>772</v>
      </c>
      <c r="E426" s="149"/>
      <c r="G426" s="155"/>
      <c r="H426" s="4"/>
      <c r="M426" s="14"/>
      <c r="N426" s="14"/>
      <c r="O426" s="14"/>
      <c r="P426" s="14"/>
      <c r="Q426" s="14"/>
    </row>
    <row r="427" spans="1:17" ht="15.75" thickBot="1" x14ac:dyDescent="0.3">
      <c r="A427" s="8"/>
      <c r="B427" s="8"/>
      <c r="C427" s="508" t="s">
        <v>311</v>
      </c>
      <c r="D427" s="509"/>
      <c r="E427" s="144">
        <f>IF(E421&lt;0, "Salah Isi", IF(E421&lt;=4, E421, "Salah Isi"))</f>
        <v>2</v>
      </c>
      <c r="G427" s="155"/>
    </row>
    <row r="428" spans="1:17" ht="15.75" thickBot="1" x14ac:dyDescent="0.3">
      <c r="A428" s="8"/>
      <c r="B428" s="8"/>
      <c r="C428" s="138"/>
      <c r="D428" s="138"/>
      <c r="G428" s="155"/>
    </row>
    <row r="429" spans="1:17" s="25" customFormat="1" ht="28.5" customHeight="1" thickBot="1" x14ac:dyDescent="0.3">
      <c r="A429" s="126">
        <v>62</v>
      </c>
      <c r="B429" s="126" t="s">
        <v>386</v>
      </c>
      <c r="C429" s="500" t="s">
        <v>773</v>
      </c>
      <c r="D429" s="501"/>
      <c r="E429" s="167"/>
      <c r="G429" s="152" t="str">
        <f>("Rata-rata banyaknya mahasiswa per dosen pembimbing akademik (PA) = ("&amp;E431&amp;"/"&amp;E430&amp;") = "&amp;E432&amp;" mahasiswa/dosen PA.")</f>
        <v>Rata-rata banyaknya mahasiswa per dosen pembimbing akademik (PA) = (80/5) = 16 mahasiswa/dosen PA.</v>
      </c>
      <c r="H429" s="4"/>
      <c r="M429" s="14"/>
      <c r="N429" s="14"/>
      <c r="O429" s="14"/>
      <c r="P429" s="14"/>
      <c r="Q429" s="14"/>
    </row>
    <row r="430" spans="1:17" x14ac:dyDescent="0.25">
      <c r="C430" s="230" t="s">
        <v>418</v>
      </c>
      <c r="D430" s="231"/>
      <c r="E430" s="163">
        <v>5</v>
      </c>
      <c r="F430" s="77"/>
      <c r="G430" s="155"/>
    </row>
    <row r="431" spans="1:17" x14ac:dyDescent="0.25">
      <c r="A431" s="126"/>
      <c r="B431" s="126"/>
      <c r="C431" s="230" t="s">
        <v>419</v>
      </c>
      <c r="D431" s="231"/>
      <c r="E431" s="163">
        <v>80</v>
      </c>
      <c r="F431" s="77"/>
      <c r="G431" s="155"/>
    </row>
    <row r="432" spans="1:17" x14ac:dyDescent="0.25">
      <c r="A432" s="126"/>
      <c r="B432" s="126"/>
      <c r="C432" s="230" t="s">
        <v>417</v>
      </c>
      <c r="D432" s="231"/>
      <c r="E432" s="164">
        <f>E431/E430</f>
        <v>16</v>
      </c>
      <c r="F432" s="77"/>
      <c r="G432" s="155"/>
    </row>
    <row r="433" spans="1:17" ht="15.75" thickBot="1" x14ac:dyDescent="0.3">
      <c r="A433" s="126"/>
      <c r="B433" s="126"/>
      <c r="C433" s="232" t="s">
        <v>311</v>
      </c>
      <c r="D433" s="233"/>
      <c r="E433" s="144">
        <f>IF(E432=0, 0, IF(E432&lt;=20, 4, IF(E432&lt;60, (60-E432)/10, 0)))</f>
        <v>4</v>
      </c>
      <c r="F433" s="77"/>
      <c r="G433" s="155"/>
    </row>
    <row r="434" spans="1:17" ht="15.75" thickBot="1" x14ac:dyDescent="0.3">
      <c r="A434" s="8"/>
      <c r="B434" s="8"/>
      <c r="C434" s="138"/>
      <c r="D434" s="138"/>
      <c r="G434" s="155"/>
    </row>
    <row r="435" spans="1:17" ht="15.75" thickBot="1" x14ac:dyDescent="0.3">
      <c r="A435" s="8">
        <v>63</v>
      </c>
      <c r="B435" s="8" t="s">
        <v>387</v>
      </c>
      <c r="C435" s="160" t="s">
        <v>114</v>
      </c>
      <c r="D435" s="206"/>
      <c r="E435" s="142">
        <v>2.5</v>
      </c>
      <c r="G435" s="152" t="s">
        <v>1005</v>
      </c>
    </row>
    <row r="436" spans="1:17" s="25" customFormat="1" ht="26.25" x14ac:dyDescent="0.25">
      <c r="A436" s="8"/>
      <c r="B436" s="8"/>
      <c r="C436" s="166">
        <v>0</v>
      </c>
      <c r="D436" s="147" t="s">
        <v>774</v>
      </c>
      <c r="E436" s="149"/>
      <c r="G436" s="155"/>
      <c r="H436" s="4"/>
      <c r="M436" s="14"/>
      <c r="N436" s="14"/>
      <c r="O436" s="14"/>
      <c r="P436" s="14"/>
      <c r="Q436" s="14"/>
    </row>
    <row r="437" spans="1:17" s="25" customFormat="1" ht="26.25" x14ac:dyDescent="0.25">
      <c r="A437" s="8"/>
      <c r="B437" s="8"/>
      <c r="C437" s="166">
        <v>1</v>
      </c>
      <c r="D437" s="147" t="s">
        <v>775</v>
      </c>
      <c r="E437" s="149"/>
      <c r="G437" s="155"/>
      <c r="H437" s="4"/>
      <c r="M437" s="14"/>
      <c r="N437" s="14"/>
      <c r="O437" s="14"/>
      <c r="P437" s="14"/>
      <c r="Q437" s="14"/>
    </row>
    <row r="438" spans="1:17" s="25" customFormat="1" ht="26.25" x14ac:dyDescent="0.25">
      <c r="A438" s="8"/>
      <c r="B438" s="8"/>
      <c r="C438" s="166">
        <v>2</v>
      </c>
      <c r="D438" s="147" t="s">
        <v>776</v>
      </c>
      <c r="E438" s="149"/>
      <c r="G438" s="155"/>
      <c r="H438" s="4"/>
      <c r="M438" s="14"/>
      <c r="N438" s="14"/>
      <c r="O438" s="14"/>
      <c r="P438" s="14"/>
      <c r="Q438" s="14"/>
    </row>
    <row r="439" spans="1:17" s="25" customFormat="1" ht="26.25" x14ac:dyDescent="0.25">
      <c r="A439" s="8"/>
      <c r="B439" s="8"/>
      <c r="C439" s="166">
        <v>3</v>
      </c>
      <c r="D439" s="147" t="s">
        <v>777</v>
      </c>
      <c r="E439" s="149"/>
      <c r="G439" s="155"/>
      <c r="H439" s="4"/>
      <c r="M439" s="14"/>
      <c r="N439" s="14"/>
      <c r="O439" s="14"/>
      <c r="P439" s="14"/>
      <c r="Q439" s="14"/>
    </row>
    <row r="440" spans="1:17" s="25" customFormat="1" ht="26.25" x14ac:dyDescent="0.25">
      <c r="A440" s="8"/>
      <c r="B440" s="8"/>
      <c r="C440" s="166">
        <v>4</v>
      </c>
      <c r="D440" s="147" t="s">
        <v>778</v>
      </c>
      <c r="E440" s="149"/>
      <c r="G440" s="155"/>
      <c r="H440" s="4"/>
      <c r="M440" s="14"/>
      <c r="N440" s="14"/>
      <c r="O440" s="14"/>
      <c r="P440" s="14"/>
      <c r="Q440" s="14"/>
    </row>
    <row r="441" spans="1:17" ht="15.75" thickBot="1" x14ac:dyDescent="0.3">
      <c r="A441" s="8"/>
      <c r="B441" s="8"/>
      <c r="C441" s="502" t="s">
        <v>311</v>
      </c>
      <c r="D441" s="503"/>
      <c r="E441" s="144">
        <f>IF(E435&lt;0, "Salah Isi", IF(E435&lt;=4, E435, "Salah Isi"))</f>
        <v>2.5</v>
      </c>
      <c r="G441" s="155"/>
    </row>
    <row r="442" spans="1:17" ht="15.75" thickBot="1" x14ac:dyDescent="0.3">
      <c r="A442" s="8"/>
      <c r="B442" s="8"/>
      <c r="C442" s="138"/>
      <c r="D442" s="138"/>
      <c r="G442" s="155"/>
    </row>
    <row r="443" spans="1:17" ht="28.5" customHeight="1" thickBot="1" x14ac:dyDescent="0.3">
      <c r="A443" s="126">
        <v>64</v>
      </c>
      <c r="B443" s="126" t="s">
        <v>388</v>
      </c>
      <c r="C443" s="510" t="s">
        <v>1006</v>
      </c>
      <c r="D443" s="511"/>
      <c r="E443" s="142">
        <v>5</v>
      </c>
      <c r="F443" s="77"/>
      <c r="G443" s="152" t="str">
        <f>C443&amp;" = "&amp;E443&amp;" kali."</f>
        <v>Jumlah rata-rata pertemuan pembimbingan per mahasiswa per semester = 5 kali.</v>
      </c>
    </row>
    <row r="444" spans="1:17" ht="15.75" thickBot="1" x14ac:dyDescent="0.3">
      <c r="A444" s="126"/>
      <c r="B444" s="126"/>
      <c r="C444" s="213" t="s">
        <v>311</v>
      </c>
      <c r="D444" s="214"/>
      <c r="E444" s="144">
        <f>IF(E443=0, 0, IF(E443&lt;3, E443+1, 4))</f>
        <v>4</v>
      </c>
      <c r="F444" s="77"/>
      <c r="G444" s="155"/>
    </row>
    <row r="445" spans="1:17" ht="15.75" thickBot="1" x14ac:dyDescent="0.3">
      <c r="A445" s="126"/>
      <c r="B445" s="126"/>
      <c r="C445" s="204"/>
      <c r="D445" s="204"/>
      <c r="E445" s="77"/>
      <c r="F445" s="77"/>
      <c r="G445" s="155"/>
    </row>
    <row r="446" spans="1:17" ht="15.75" thickBot="1" x14ac:dyDescent="0.3">
      <c r="A446" s="8">
        <v>65</v>
      </c>
      <c r="B446" s="8" t="s">
        <v>389</v>
      </c>
      <c r="C446" s="160" t="s">
        <v>542</v>
      </c>
      <c r="D446" s="206"/>
      <c r="E446" s="142">
        <v>2.5</v>
      </c>
      <c r="G446" s="152" t="s">
        <v>1007</v>
      </c>
    </row>
    <row r="447" spans="1:17" s="25" customFormat="1" ht="26.25" x14ac:dyDescent="0.25">
      <c r="A447" s="8"/>
      <c r="B447" s="8"/>
      <c r="C447" s="166">
        <v>0</v>
      </c>
      <c r="D447" s="147" t="s">
        <v>779</v>
      </c>
      <c r="E447" s="149"/>
      <c r="G447" s="155"/>
      <c r="H447" s="4"/>
      <c r="M447" s="14"/>
      <c r="N447" s="14"/>
      <c r="O447" s="14"/>
      <c r="P447" s="14"/>
      <c r="Q447" s="14"/>
    </row>
    <row r="448" spans="1:17" s="25" customFormat="1" x14ac:dyDescent="0.25">
      <c r="A448" s="8"/>
      <c r="B448" s="8"/>
      <c r="C448" s="166">
        <v>1</v>
      </c>
      <c r="D448" s="147" t="s">
        <v>780</v>
      </c>
      <c r="E448" s="149"/>
      <c r="G448" s="155"/>
      <c r="H448" s="4"/>
      <c r="M448" s="14"/>
      <c r="N448" s="14"/>
      <c r="O448" s="14"/>
      <c r="P448" s="14"/>
      <c r="Q448" s="14"/>
    </row>
    <row r="449" spans="1:17" s="25" customFormat="1" x14ac:dyDescent="0.25">
      <c r="A449" s="8"/>
      <c r="B449" s="8"/>
      <c r="C449" s="166">
        <v>2</v>
      </c>
      <c r="D449" s="147" t="s">
        <v>781</v>
      </c>
      <c r="E449" s="149"/>
      <c r="G449" s="155"/>
      <c r="H449" s="4"/>
      <c r="M449" s="14"/>
      <c r="N449" s="14"/>
      <c r="O449" s="14"/>
      <c r="P449" s="14"/>
      <c r="Q449" s="14"/>
    </row>
    <row r="450" spans="1:17" s="25" customFormat="1" x14ac:dyDescent="0.25">
      <c r="A450" s="8"/>
      <c r="B450" s="8"/>
      <c r="C450" s="166">
        <v>3</v>
      </c>
      <c r="D450" s="147" t="s">
        <v>782</v>
      </c>
      <c r="E450" s="149"/>
      <c r="G450" s="155"/>
      <c r="H450" s="4"/>
      <c r="M450" s="14"/>
      <c r="N450" s="14"/>
      <c r="O450" s="14"/>
      <c r="P450" s="14"/>
      <c r="Q450" s="14"/>
    </row>
    <row r="451" spans="1:17" s="25" customFormat="1" x14ac:dyDescent="0.25">
      <c r="A451" s="8"/>
      <c r="B451" s="8"/>
      <c r="C451" s="166">
        <v>4</v>
      </c>
      <c r="D451" s="147" t="s">
        <v>783</v>
      </c>
      <c r="E451" s="149"/>
      <c r="G451" s="155"/>
      <c r="H451" s="4"/>
      <c r="M451" s="14"/>
      <c r="N451" s="14"/>
      <c r="O451" s="14"/>
      <c r="P451" s="14"/>
      <c r="Q451" s="14"/>
    </row>
    <row r="452" spans="1:17" ht="15.75" thickBot="1" x14ac:dyDescent="0.3">
      <c r="A452" s="8"/>
      <c r="B452" s="8"/>
      <c r="C452" s="502" t="s">
        <v>311</v>
      </c>
      <c r="D452" s="503"/>
      <c r="E452" s="144">
        <f>IF(E446&lt;0, "Salah Isi", IF(E446&lt;=4, E446, "Salah Isi"))</f>
        <v>2.5</v>
      </c>
      <c r="G452" s="155"/>
    </row>
    <row r="453" spans="1:17" ht="15.75" thickBot="1" x14ac:dyDescent="0.3">
      <c r="A453" s="8"/>
      <c r="B453" s="8"/>
      <c r="C453" s="138"/>
      <c r="D453" s="138"/>
      <c r="G453" s="155"/>
    </row>
    <row r="454" spans="1:17" ht="15.75" thickBot="1" x14ac:dyDescent="0.3">
      <c r="A454" s="126">
        <v>66</v>
      </c>
      <c r="B454" s="126" t="s">
        <v>117</v>
      </c>
      <c r="C454" s="160" t="s">
        <v>543</v>
      </c>
      <c r="D454" s="187"/>
      <c r="E454" s="142">
        <v>2</v>
      </c>
      <c r="F454" s="77"/>
      <c r="G454" s="152" t="s">
        <v>1008</v>
      </c>
    </row>
    <row r="455" spans="1:17" s="25" customFormat="1" x14ac:dyDescent="0.25">
      <c r="A455" s="126"/>
      <c r="B455" s="126"/>
      <c r="C455" s="166">
        <v>0</v>
      </c>
      <c r="D455" s="147" t="s">
        <v>785</v>
      </c>
      <c r="E455" s="149"/>
      <c r="F455" s="77"/>
      <c r="G455" s="155"/>
      <c r="H455" s="4"/>
      <c r="M455" s="14"/>
      <c r="N455" s="14"/>
      <c r="O455" s="14"/>
      <c r="P455" s="14"/>
      <c r="Q455" s="14"/>
    </row>
    <row r="456" spans="1:17" s="25" customFormat="1" x14ac:dyDescent="0.25">
      <c r="A456" s="126"/>
      <c r="B456" s="126"/>
      <c r="C456" s="166">
        <v>1</v>
      </c>
      <c r="D456" s="207" t="s">
        <v>784</v>
      </c>
      <c r="E456" s="149"/>
      <c r="F456" s="77"/>
      <c r="G456" s="155"/>
      <c r="H456" s="4"/>
      <c r="M456" s="14"/>
      <c r="N456" s="14"/>
      <c r="O456" s="14"/>
      <c r="P456" s="14"/>
      <c r="Q456" s="14"/>
    </row>
    <row r="457" spans="1:17" s="25" customFormat="1" ht="26.25" x14ac:dyDescent="0.25">
      <c r="A457" s="126"/>
      <c r="B457" s="126"/>
      <c r="C457" s="166">
        <v>2</v>
      </c>
      <c r="D457" s="147" t="s">
        <v>786</v>
      </c>
      <c r="E457" s="149"/>
      <c r="F457" s="77"/>
      <c r="G457" s="155"/>
      <c r="H457" s="4"/>
      <c r="M457" s="14"/>
      <c r="N457" s="14"/>
      <c r="O457" s="14"/>
      <c r="P457" s="14"/>
      <c r="Q457" s="14"/>
    </row>
    <row r="458" spans="1:17" s="25" customFormat="1" ht="26.25" x14ac:dyDescent="0.25">
      <c r="A458" s="126"/>
      <c r="B458" s="126"/>
      <c r="C458" s="166">
        <v>3</v>
      </c>
      <c r="D458" s="147" t="s">
        <v>787</v>
      </c>
      <c r="E458" s="149"/>
      <c r="F458" s="77"/>
      <c r="G458" s="155"/>
      <c r="H458" s="4"/>
      <c r="M458" s="14"/>
      <c r="N458" s="14"/>
      <c r="O458" s="14"/>
      <c r="P458" s="14"/>
      <c r="Q458" s="14"/>
    </row>
    <row r="459" spans="1:17" s="25" customFormat="1" ht="26.25" x14ac:dyDescent="0.25">
      <c r="A459" s="126"/>
      <c r="B459" s="126"/>
      <c r="C459" s="166">
        <v>4</v>
      </c>
      <c r="D459" s="147" t="s">
        <v>788</v>
      </c>
      <c r="E459" s="149"/>
      <c r="F459" s="77"/>
      <c r="G459" s="155"/>
      <c r="H459" s="4"/>
      <c r="M459" s="14"/>
      <c r="N459" s="14"/>
      <c r="O459" s="14"/>
      <c r="P459" s="14"/>
      <c r="Q459" s="14"/>
    </row>
    <row r="460" spans="1:17" ht="42.75" customHeight="1" thickBot="1" x14ac:dyDescent="0.3">
      <c r="A460" s="8"/>
      <c r="B460" s="8"/>
      <c r="C460" s="555" t="s">
        <v>311</v>
      </c>
      <c r="D460" s="556"/>
      <c r="E460" s="261">
        <f>IF(E454&lt;0, "Salah Isi", IF(E454=1,"Tidak ada skor 1", IF(E454&lt;=4, E454, "Salah Isi")))</f>
        <v>2</v>
      </c>
      <c r="G460" s="155"/>
    </row>
    <row r="461" spans="1:17" ht="15.75" thickBot="1" x14ac:dyDescent="0.3">
      <c r="A461" s="8"/>
      <c r="B461" s="8"/>
      <c r="C461" s="138"/>
      <c r="D461" s="138"/>
      <c r="G461" s="155"/>
    </row>
    <row r="462" spans="1:17" s="25" customFormat="1" ht="15.75" thickBot="1" x14ac:dyDescent="0.3">
      <c r="A462" s="126">
        <v>67</v>
      </c>
      <c r="B462" s="126" t="s">
        <v>119</v>
      </c>
      <c r="C462" s="160" t="s">
        <v>1009</v>
      </c>
      <c r="D462" s="206"/>
      <c r="E462" s="167"/>
      <c r="G462" s="152" t="str">
        <f>C462&amp;" = ("&amp;E464&amp;"/"&amp;E463&amp;") = "&amp;TEXT(E465,"0,00")&amp;" mahasiswa/dosen TA."</f>
        <v>Rata-rata mahasiswa per dosen pembimbing tugas akhir = (19/7) = 003 mahasiswa/dosen TA.</v>
      </c>
      <c r="H462" s="4"/>
      <c r="M462" s="14"/>
      <c r="N462" s="14"/>
      <c r="O462" s="14"/>
      <c r="P462" s="14"/>
      <c r="Q462" s="14"/>
    </row>
    <row r="463" spans="1:17" x14ac:dyDescent="0.25">
      <c r="C463" s="188" t="s">
        <v>420</v>
      </c>
      <c r="D463" s="189"/>
      <c r="E463" s="163">
        <v>7</v>
      </c>
      <c r="F463" s="77"/>
      <c r="G463" s="155"/>
    </row>
    <row r="464" spans="1:17" x14ac:dyDescent="0.25">
      <c r="A464" s="126"/>
      <c r="B464" s="126"/>
      <c r="C464" s="188" t="s">
        <v>421</v>
      </c>
      <c r="D464" s="189"/>
      <c r="E464" s="163">
        <v>19</v>
      </c>
      <c r="F464" s="77"/>
      <c r="G464" s="155"/>
    </row>
    <row r="465" spans="1:17" x14ac:dyDescent="0.25">
      <c r="A465" s="126"/>
      <c r="B465" s="126"/>
      <c r="C465" s="188" t="s">
        <v>417</v>
      </c>
      <c r="D465" s="189"/>
      <c r="E465" s="164">
        <f>E464/E463</f>
        <v>2.7142857142857144</v>
      </c>
      <c r="F465" s="77"/>
      <c r="G465" s="155"/>
    </row>
    <row r="466" spans="1:17" ht="15.75" thickBot="1" x14ac:dyDescent="0.3">
      <c r="A466" s="126"/>
      <c r="B466" s="126"/>
      <c r="C466" s="232" t="s">
        <v>311</v>
      </c>
      <c r="D466" s="233"/>
      <c r="E466" s="144">
        <f>IF(E465=0, 0, IF(E465&lt;=4, 4, IF(E465&lt;20, 5-(E465/4),0)))</f>
        <v>4</v>
      </c>
      <c r="F466" s="77"/>
      <c r="G466" s="155"/>
    </row>
    <row r="467" spans="1:17" ht="15.75" thickBot="1" x14ac:dyDescent="0.3">
      <c r="A467" s="126"/>
      <c r="B467" s="126"/>
      <c r="C467" s="204"/>
      <c r="D467" s="204"/>
      <c r="E467" s="126"/>
      <c r="F467" s="77"/>
      <c r="G467" s="155"/>
    </row>
    <row r="468" spans="1:17" ht="15.75" thickBot="1" x14ac:dyDescent="0.3">
      <c r="A468" s="126">
        <v>68</v>
      </c>
      <c r="B468" s="126" t="s">
        <v>121</v>
      </c>
      <c r="C468" s="186" t="s">
        <v>422</v>
      </c>
      <c r="D468" s="187"/>
      <c r="E468" s="142">
        <v>7</v>
      </c>
      <c r="F468" s="77"/>
      <c r="G468" s="152" t="str">
        <f>C468&amp;" = "&amp;E468&amp;" kali."</f>
        <v>Rata-rata jumlah pertemuan/pembimbingan TA = 7 kali.</v>
      </c>
    </row>
    <row r="469" spans="1:17" ht="15.75" thickBot="1" x14ac:dyDescent="0.3">
      <c r="A469" s="126"/>
      <c r="B469" s="126"/>
      <c r="C469" s="213" t="s">
        <v>311</v>
      </c>
      <c r="D469" s="214"/>
      <c r="E469" s="144">
        <f>IF(E468&gt;=8, 4, E468/2)</f>
        <v>3.5</v>
      </c>
      <c r="F469" s="77"/>
      <c r="G469" s="155"/>
    </row>
    <row r="470" spans="1:17" ht="15.75" thickBot="1" x14ac:dyDescent="0.3">
      <c r="A470" s="8"/>
      <c r="B470" s="8"/>
      <c r="C470" s="138"/>
      <c r="D470" s="138"/>
      <c r="G470" s="155"/>
    </row>
    <row r="471" spans="1:17" ht="15.75" thickBot="1" x14ac:dyDescent="0.3">
      <c r="A471" s="8">
        <v>69</v>
      </c>
      <c r="B471" s="8" t="s">
        <v>122</v>
      </c>
      <c r="C471" s="160" t="s">
        <v>123</v>
      </c>
      <c r="D471" s="206"/>
      <c r="E471" s="142">
        <v>2.5</v>
      </c>
      <c r="G471" s="152" t="s">
        <v>123</v>
      </c>
    </row>
    <row r="472" spans="1:17" s="25" customFormat="1" ht="26.25" x14ac:dyDescent="0.25">
      <c r="A472" s="8"/>
      <c r="B472" s="8"/>
      <c r="C472" s="166">
        <v>1</v>
      </c>
      <c r="D472" s="147" t="s">
        <v>789</v>
      </c>
      <c r="E472" s="149"/>
      <c r="G472" s="155"/>
      <c r="H472" s="4"/>
      <c r="M472" s="14"/>
      <c r="N472" s="14"/>
      <c r="O472" s="14"/>
      <c r="P472" s="14"/>
      <c r="Q472" s="14"/>
    </row>
    <row r="473" spans="1:17" s="25" customFormat="1" ht="39" x14ac:dyDescent="0.25">
      <c r="A473" s="8"/>
      <c r="B473" s="8"/>
      <c r="C473" s="166">
        <v>2</v>
      </c>
      <c r="D473" s="147" t="s">
        <v>790</v>
      </c>
      <c r="E473" s="149"/>
      <c r="G473" s="155"/>
      <c r="H473" s="4"/>
      <c r="M473" s="14"/>
      <c r="N473" s="14"/>
      <c r="O473" s="14"/>
      <c r="P473" s="14"/>
      <c r="Q473" s="14"/>
    </row>
    <row r="474" spans="1:17" s="25" customFormat="1" ht="26.25" x14ac:dyDescent="0.25">
      <c r="A474" s="8"/>
      <c r="B474" s="8"/>
      <c r="C474" s="166">
        <v>3</v>
      </c>
      <c r="D474" s="147" t="s">
        <v>791</v>
      </c>
      <c r="E474" s="149"/>
      <c r="G474" s="155"/>
      <c r="H474" s="4"/>
      <c r="M474" s="14"/>
      <c r="N474" s="14"/>
      <c r="O474" s="14"/>
      <c r="P474" s="14"/>
      <c r="Q474" s="14"/>
    </row>
    <row r="475" spans="1:17" s="25" customFormat="1" ht="26.25" x14ac:dyDescent="0.25">
      <c r="A475" s="8"/>
      <c r="B475" s="8"/>
      <c r="C475" s="166">
        <v>4</v>
      </c>
      <c r="D475" s="147" t="s">
        <v>792</v>
      </c>
      <c r="E475" s="149"/>
      <c r="G475" s="155"/>
      <c r="H475" s="4"/>
      <c r="M475" s="14"/>
      <c r="N475" s="14"/>
      <c r="O475" s="14"/>
      <c r="P475" s="14"/>
      <c r="Q475" s="14"/>
    </row>
    <row r="476" spans="1:17" ht="15.75" thickBot="1" x14ac:dyDescent="0.3">
      <c r="A476" s="8"/>
      <c r="B476" s="8"/>
      <c r="C476" s="508" t="s">
        <v>311</v>
      </c>
      <c r="D476" s="509"/>
      <c r="E476" s="144">
        <f>IF(E471&lt;0, "Salah Isi", IF(E471&lt;1, 1, IF(E471&lt;=4, E471, "Salah Isi")))</f>
        <v>2.5</v>
      </c>
      <c r="G476" s="155"/>
    </row>
    <row r="477" spans="1:17" x14ac:dyDescent="0.25">
      <c r="A477" s="8"/>
      <c r="B477" s="8"/>
      <c r="C477" s="138"/>
      <c r="D477" s="138"/>
      <c r="G477" s="155"/>
    </row>
    <row r="478" spans="1:17" x14ac:dyDescent="0.25">
      <c r="A478" s="126">
        <v>70</v>
      </c>
      <c r="B478" s="126" t="s">
        <v>124</v>
      </c>
      <c r="C478" s="219" t="s">
        <v>428</v>
      </c>
      <c r="D478" s="234"/>
      <c r="E478" s="80"/>
      <c r="F478" s="77"/>
      <c r="G478" s="155"/>
    </row>
    <row r="479" spans="1:17" ht="15.75" thickBot="1" x14ac:dyDescent="0.3">
      <c r="A479" s="126"/>
      <c r="B479" s="126"/>
      <c r="C479" s="235" t="s">
        <v>423</v>
      </c>
      <c r="D479" s="204"/>
      <c r="E479" s="77"/>
      <c r="F479" s="77"/>
      <c r="G479" s="155"/>
    </row>
    <row r="480" spans="1:17" ht="15.75" thickBot="1" x14ac:dyDescent="0.3">
      <c r="A480" s="126"/>
      <c r="B480" s="126"/>
      <c r="C480" s="186" t="s">
        <v>424</v>
      </c>
      <c r="D480" s="187"/>
      <c r="E480" s="142">
        <v>4</v>
      </c>
      <c r="F480" s="77"/>
      <c r="G480" s="152" t="str">
        <f>"Dalam kurikulum, tugas akhir direncanakan selesai dalam … semester.  Dalam realisasinya, rata-rata waktu penyelesaian tugas akhir = "&amp;E480&amp;" bulan."</f>
        <v>Dalam kurikulum, tugas akhir direncanakan selesai dalam … semester.  Dalam realisasinya, rata-rata waktu penyelesaian tugas akhir = 4 bulan.</v>
      </c>
    </row>
    <row r="481" spans="1:17" x14ac:dyDescent="0.25">
      <c r="A481" s="126"/>
      <c r="B481" s="126"/>
      <c r="C481" s="242" t="s">
        <v>425</v>
      </c>
      <c r="D481" s="189"/>
      <c r="E481" s="164">
        <f>IF(E480&lt;=6,4,IF(E480&lt;14,(14-E480)/2,0))</f>
        <v>4</v>
      </c>
      <c r="F481" s="77"/>
      <c r="G481" s="155"/>
    </row>
    <row r="482" spans="1:17" x14ac:dyDescent="0.25">
      <c r="A482" s="126"/>
      <c r="B482" s="126"/>
      <c r="C482" s="259" t="s">
        <v>426</v>
      </c>
      <c r="D482" s="234"/>
      <c r="E482" s="260"/>
      <c r="F482" s="77"/>
      <c r="G482" s="155"/>
    </row>
    <row r="483" spans="1:17" x14ac:dyDescent="0.25">
      <c r="A483" s="126"/>
      <c r="B483" s="126"/>
      <c r="C483" s="188" t="s">
        <v>424</v>
      </c>
      <c r="D483" s="189"/>
      <c r="E483" s="163">
        <v>0</v>
      </c>
      <c r="F483" s="77"/>
      <c r="G483" s="155"/>
    </row>
    <row r="484" spans="1:17" x14ac:dyDescent="0.25">
      <c r="A484" s="126"/>
      <c r="B484" s="126"/>
      <c r="C484" s="242" t="s">
        <v>427</v>
      </c>
      <c r="D484" s="189"/>
      <c r="E484" s="164">
        <f>IF(E483&lt;=12,4,IF(E483&lt;28,(28-E483)/4,0))</f>
        <v>4</v>
      </c>
      <c r="F484" s="77"/>
      <c r="G484" s="155"/>
    </row>
    <row r="485" spans="1:17" ht="15.75" thickBot="1" x14ac:dyDescent="0.3">
      <c r="A485" s="126"/>
      <c r="B485" s="126"/>
      <c r="C485" s="243" t="s">
        <v>311</v>
      </c>
      <c r="D485" s="224"/>
      <c r="E485" s="144">
        <f>IF(E480&gt;0,E481,E484)</f>
        <v>4</v>
      </c>
      <c r="F485" s="77"/>
      <c r="G485" s="155"/>
    </row>
    <row r="486" spans="1:17" ht="15.75" thickBot="1" x14ac:dyDescent="0.3">
      <c r="A486" s="8"/>
      <c r="B486" s="8"/>
      <c r="C486" s="138"/>
      <c r="D486" s="138"/>
      <c r="G486" s="155"/>
    </row>
    <row r="487" spans="1:17" ht="51" customHeight="1" thickBot="1" x14ac:dyDescent="0.3">
      <c r="A487" s="8">
        <v>71</v>
      </c>
      <c r="B487" s="8" t="s">
        <v>544</v>
      </c>
      <c r="C487" s="498" t="s">
        <v>793</v>
      </c>
      <c r="D487" s="499"/>
      <c r="E487" s="142">
        <v>1</v>
      </c>
      <c r="G487" s="152" t="s">
        <v>1011</v>
      </c>
    </row>
    <row r="488" spans="1:17" s="25" customFormat="1" ht="13.5" customHeight="1" x14ac:dyDescent="0.25">
      <c r="A488" s="8"/>
      <c r="B488" s="8"/>
      <c r="C488" s="246">
        <v>0</v>
      </c>
      <c r="D488" s="178" t="s">
        <v>794</v>
      </c>
      <c r="E488" s="149"/>
      <c r="G488" s="155"/>
      <c r="H488" s="4"/>
      <c r="M488" s="14"/>
      <c r="N488" s="14"/>
      <c r="O488" s="14"/>
      <c r="P488" s="14"/>
      <c r="Q488" s="14"/>
    </row>
    <row r="489" spans="1:17" s="25" customFormat="1" ht="27" customHeight="1" x14ac:dyDescent="0.25">
      <c r="A489" s="8"/>
      <c r="B489" s="8"/>
      <c r="C489" s="246">
        <v>1</v>
      </c>
      <c r="D489" s="178" t="s">
        <v>795</v>
      </c>
      <c r="E489" s="149"/>
      <c r="G489" s="155"/>
      <c r="H489" s="4"/>
      <c r="M489" s="14"/>
      <c r="N489" s="14"/>
      <c r="O489" s="14"/>
      <c r="P489" s="14"/>
      <c r="Q489" s="14"/>
    </row>
    <row r="490" spans="1:17" s="25" customFormat="1" ht="27" customHeight="1" x14ac:dyDescent="0.25">
      <c r="A490" s="8"/>
      <c r="B490" s="8"/>
      <c r="C490" s="246">
        <v>2</v>
      </c>
      <c r="D490" s="178" t="s">
        <v>796</v>
      </c>
      <c r="E490" s="149"/>
      <c r="G490" s="155"/>
      <c r="H490" s="4"/>
      <c r="M490" s="14"/>
      <c r="N490" s="14"/>
      <c r="O490" s="14"/>
      <c r="P490" s="14"/>
      <c r="Q490" s="14"/>
    </row>
    <row r="491" spans="1:17" s="25" customFormat="1" ht="26.25" customHeight="1" x14ac:dyDescent="0.25">
      <c r="A491" s="8"/>
      <c r="B491" s="8"/>
      <c r="C491" s="246">
        <v>3</v>
      </c>
      <c r="D491" s="178" t="s">
        <v>797</v>
      </c>
      <c r="E491" s="149"/>
      <c r="G491" s="155"/>
      <c r="H491" s="4"/>
      <c r="M491" s="14"/>
      <c r="N491" s="14"/>
      <c r="O491" s="14"/>
      <c r="P491" s="14"/>
      <c r="Q491" s="14"/>
    </row>
    <row r="492" spans="1:17" s="25" customFormat="1" ht="28.5" customHeight="1" x14ac:dyDescent="0.25">
      <c r="A492" s="8"/>
      <c r="B492" s="8"/>
      <c r="C492" s="246">
        <v>4</v>
      </c>
      <c r="D492" s="178" t="s">
        <v>798</v>
      </c>
      <c r="E492" s="149"/>
      <c r="G492" s="155"/>
      <c r="H492" s="4"/>
      <c r="M492" s="14"/>
      <c r="N492" s="14"/>
      <c r="O492" s="14"/>
      <c r="P492" s="14"/>
      <c r="Q492" s="14"/>
    </row>
    <row r="493" spans="1:17" ht="15.75" thickBot="1" x14ac:dyDescent="0.3">
      <c r="A493" s="8"/>
      <c r="B493" s="8"/>
      <c r="C493" s="508" t="s">
        <v>311</v>
      </c>
      <c r="D493" s="509"/>
      <c r="E493" s="144">
        <f>IF(E487&lt;0, "Salah Isi", IF(E487&lt;=4, E487, "Salah Isi"))</f>
        <v>1</v>
      </c>
      <c r="G493" s="155"/>
    </row>
    <row r="494" spans="1:17" ht="15.75" thickBot="1" x14ac:dyDescent="0.3">
      <c r="A494" s="126"/>
      <c r="B494" s="126"/>
      <c r="C494" s="204"/>
      <c r="D494" s="204"/>
      <c r="E494" s="77"/>
      <c r="F494" s="77"/>
      <c r="G494" s="155"/>
    </row>
    <row r="495" spans="1:17" ht="42" customHeight="1" thickBot="1" x14ac:dyDescent="0.3">
      <c r="A495" s="8">
        <v>72</v>
      </c>
      <c r="B495" s="8" t="s">
        <v>127</v>
      </c>
      <c r="C495" s="500" t="s">
        <v>799</v>
      </c>
      <c r="D495" s="501"/>
      <c r="E495" s="142">
        <v>0</v>
      </c>
      <c r="G495" s="152" t="s">
        <v>1012</v>
      </c>
    </row>
    <row r="496" spans="1:17" s="25" customFormat="1" ht="39.75" customHeight="1" x14ac:dyDescent="0.25">
      <c r="A496" s="8"/>
      <c r="B496" s="8"/>
      <c r="C496" s="215">
        <v>1</v>
      </c>
      <c r="D496" s="140" t="s">
        <v>800</v>
      </c>
      <c r="E496" s="149"/>
      <c r="G496" s="155"/>
      <c r="H496" s="4"/>
      <c r="M496" s="14"/>
      <c r="N496" s="14"/>
      <c r="O496" s="14"/>
      <c r="P496" s="14"/>
      <c r="Q496" s="14"/>
    </row>
    <row r="497" spans="1:17" s="25" customFormat="1" ht="14.25" customHeight="1" x14ac:dyDescent="0.25">
      <c r="A497" s="8"/>
      <c r="B497" s="8"/>
      <c r="C497" s="215">
        <v>2</v>
      </c>
      <c r="D497" s="140" t="s">
        <v>801</v>
      </c>
      <c r="E497" s="149"/>
      <c r="G497" s="155"/>
      <c r="H497" s="4"/>
      <c r="M497" s="14"/>
      <c r="N497" s="14"/>
      <c r="O497" s="14"/>
      <c r="P497" s="14"/>
      <c r="Q497" s="14"/>
    </row>
    <row r="498" spans="1:17" s="25" customFormat="1" ht="51" customHeight="1" x14ac:dyDescent="0.25">
      <c r="A498" s="8"/>
      <c r="B498" s="8"/>
      <c r="C498" s="215">
        <v>3</v>
      </c>
      <c r="D498" s="140" t="s">
        <v>802</v>
      </c>
      <c r="E498" s="149"/>
      <c r="G498" s="155"/>
      <c r="H498" s="4"/>
      <c r="M498" s="14"/>
      <c r="N498" s="14"/>
      <c r="O498" s="14"/>
      <c r="P498" s="14"/>
      <c r="Q498" s="14"/>
    </row>
    <row r="499" spans="1:17" s="25" customFormat="1" ht="54" customHeight="1" x14ac:dyDescent="0.25">
      <c r="A499" s="8"/>
      <c r="B499" s="8"/>
      <c r="C499" s="215">
        <v>4</v>
      </c>
      <c r="D499" s="140" t="s">
        <v>803</v>
      </c>
      <c r="E499" s="149"/>
      <c r="G499" s="155"/>
      <c r="H499" s="4"/>
      <c r="M499" s="14"/>
      <c r="N499" s="14"/>
      <c r="O499" s="14"/>
      <c r="P499" s="14"/>
      <c r="Q499" s="14"/>
    </row>
    <row r="500" spans="1:17" ht="15.75" thickBot="1" x14ac:dyDescent="0.3">
      <c r="A500" s="8"/>
      <c r="B500" s="8"/>
      <c r="C500" s="508" t="s">
        <v>311</v>
      </c>
      <c r="D500" s="509"/>
      <c r="E500" s="144">
        <f>IF(E495&lt;0, "Salah Isi", IF(E495&lt;1, 1, IF(E495&lt;=4, E495, "Salah Isi")))</f>
        <v>1</v>
      </c>
      <c r="G500" s="155"/>
    </row>
    <row r="501" spans="1:17" ht="15.75" thickBot="1" x14ac:dyDescent="0.3">
      <c r="A501" s="8"/>
      <c r="B501" s="8"/>
      <c r="C501" s="138"/>
      <c r="D501" s="138"/>
      <c r="G501" s="155"/>
    </row>
    <row r="502" spans="1:17" ht="39.75" customHeight="1" thickBot="1" x14ac:dyDescent="0.3">
      <c r="A502" s="8">
        <v>73</v>
      </c>
      <c r="B502" s="8" t="s">
        <v>129</v>
      </c>
      <c r="C502" s="500" t="s">
        <v>804</v>
      </c>
      <c r="D502" s="501"/>
      <c r="E502" s="142">
        <v>0</v>
      </c>
      <c r="G502" s="152" t="s">
        <v>1016</v>
      </c>
    </row>
    <row r="503" spans="1:17" s="25" customFormat="1" ht="26.25" x14ac:dyDescent="0.25">
      <c r="A503" s="8"/>
      <c r="B503" s="8"/>
      <c r="C503" s="166">
        <v>1</v>
      </c>
      <c r="D503" s="147" t="s">
        <v>805</v>
      </c>
      <c r="E503" s="149"/>
      <c r="G503" s="155"/>
      <c r="H503" s="4"/>
      <c r="M503" s="14"/>
      <c r="N503" s="14"/>
      <c r="O503" s="14"/>
      <c r="P503" s="14"/>
      <c r="Q503" s="14"/>
    </row>
    <row r="504" spans="1:17" s="25" customFormat="1" ht="26.25" x14ac:dyDescent="0.25">
      <c r="A504" s="8"/>
      <c r="B504" s="8"/>
      <c r="C504" s="166">
        <v>2</v>
      </c>
      <c r="D504" s="147" t="s">
        <v>806</v>
      </c>
      <c r="E504" s="149"/>
      <c r="G504" s="155"/>
      <c r="H504" s="4"/>
      <c r="M504" s="14"/>
      <c r="N504" s="14"/>
      <c r="O504" s="14"/>
      <c r="P504" s="14"/>
      <c r="Q504" s="14"/>
    </row>
    <row r="505" spans="1:17" s="25" customFormat="1" x14ac:dyDescent="0.25">
      <c r="A505" s="8"/>
      <c r="B505" s="8"/>
      <c r="C505" s="166">
        <v>3</v>
      </c>
      <c r="D505" s="147" t="s">
        <v>807</v>
      </c>
      <c r="E505" s="149"/>
      <c r="G505" s="155"/>
      <c r="H505" s="4"/>
      <c r="M505" s="14"/>
      <c r="N505" s="14"/>
      <c r="O505" s="14"/>
      <c r="P505" s="14"/>
      <c r="Q505" s="14"/>
    </row>
    <row r="506" spans="1:17" s="25" customFormat="1" ht="26.25" x14ac:dyDescent="0.25">
      <c r="A506" s="8"/>
      <c r="B506" s="8"/>
      <c r="C506" s="166">
        <v>4</v>
      </c>
      <c r="D506" s="147" t="s">
        <v>808</v>
      </c>
      <c r="E506" s="149"/>
      <c r="G506" s="155"/>
      <c r="H506" s="4"/>
      <c r="M506" s="14"/>
      <c r="N506" s="14"/>
      <c r="O506" s="14"/>
      <c r="P506" s="14"/>
      <c r="Q506" s="14"/>
    </row>
    <row r="507" spans="1:17" ht="15.75" thickBot="1" x14ac:dyDescent="0.3">
      <c r="A507" s="8"/>
      <c r="B507" s="8"/>
      <c r="C507" s="508" t="s">
        <v>311</v>
      </c>
      <c r="D507" s="509"/>
      <c r="E507" s="144">
        <f>IF(E502&lt;0, "Salah Isi", IF(E502&lt;1, 1, IF(E502&lt;=4, E502, "Salah Isi")))</f>
        <v>1</v>
      </c>
      <c r="G507" s="155"/>
    </row>
    <row r="508" spans="1:17" ht="15.75" thickBot="1" x14ac:dyDescent="0.3">
      <c r="A508" s="8"/>
      <c r="B508" s="8"/>
      <c r="C508" s="138"/>
      <c r="D508" s="138"/>
      <c r="G508" s="155"/>
    </row>
    <row r="509" spans="1:17" ht="42.75" customHeight="1" thickBot="1" x14ac:dyDescent="0.3">
      <c r="A509" s="8">
        <v>74</v>
      </c>
      <c r="B509" s="8" t="s">
        <v>131</v>
      </c>
      <c r="C509" s="500" t="s">
        <v>809</v>
      </c>
      <c r="D509" s="501"/>
      <c r="E509" s="142">
        <v>2</v>
      </c>
      <c r="G509" s="152" t="s">
        <v>1015</v>
      </c>
    </row>
    <row r="510" spans="1:17" s="25" customFormat="1" ht="27.75" customHeight="1" x14ac:dyDescent="0.25">
      <c r="A510" s="8"/>
      <c r="B510" s="8"/>
      <c r="C510" s="215">
        <v>1</v>
      </c>
      <c r="D510" s="178" t="s">
        <v>810</v>
      </c>
      <c r="E510" s="149"/>
      <c r="G510" s="155"/>
      <c r="H510" s="4"/>
      <c r="M510" s="14"/>
      <c r="N510" s="14"/>
      <c r="O510" s="14"/>
      <c r="P510" s="14"/>
      <c r="Q510" s="14"/>
    </row>
    <row r="511" spans="1:17" s="25" customFormat="1" ht="26.25" customHeight="1" x14ac:dyDescent="0.25">
      <c r="A511" s="8"/>
      <c r="B511" s="8"/>
      <c r="C511" s="215">
        <v>2</v>
      </c>
      <c r="D511" s="178" t="s">
        <v>811</v>
      </c>
      <c r="E511" s="149"/>
      <c r="G511" s="155"/>
      <c r="H511" s="4"/>
      <c r="M511" s="14"/>
      <c r="N511" s="14"/>
      <c r="O511" s="14"/>
      <c r="P511" s="14"/>
      <c r="Q511" s="14"/>
    </row>
    <row r="512" spans="1:17" s="25" customFormat="1" ht="27" customHeight="1" x14ac:dyDescent="0.25">
      <c r="A512" s="8"/>
      <c r="B512" s="8"/>
      <c r="C512" s="215">
        <v>3</v>
      </c>
      <c r="D512" s="178" t="s">
        <v>812</v>
      </c>
      <c r="E512" s="149"/>
      <c r="G512" s="155"/>
      <c r="H512" s="4"/>
      <c r="M512" s="14"/>
      <c r="N512" s="14"/>
      <c r="O512" s="14"/>
      <c r="P512" s="14"/>
      <c r="Q512" s="14"/>
    </row>
    <row r="513" spans="1:17" s="25" customFormat="1" ht="15.75" customHeight="1" x14ac:dyDescent="0.25">
      <c r="A513" s="8"/>
      <c r="B513" s="8"/>
      <c r="C513" s="215">
        <v>4</v>
      </c>
      <c r="D513" s="178" t="s">
        <v>813</v>
      </c>
      <c r="E513" s="149"/>
      <c r="G513" s="155"/>
      <c r="H513" s="4"/>
      <c r="M513" s="14"/>
      <c r="N513" s="14"/>
      <c r="O513" s="14"/>
      <c r="P513" s="14"/>
      <c r="Q513" s="14"/>
    </row>
    <row r="514" spans="1:17" ht="15.75" thickBot="1" x14ac:dyDescent="0.3">
      <c r="A514" s="8"/>
      <c r="B514" s="8"/>
      <c r="C514" s="508" t="s">
        <v>311</v>
      </c>
      <c r="D514" s="509"/>
      <c r="E514" s="144">
        <f>IF(E509&lt;0, "Salah Isi", IF(E509&lt;1, 1, IF(E509&lt;=4, E509, "Salah Isi")))</f>
        <v>2</v>
      </c>
      <c r="G514" s="155"/>
    </row>
    <row r="515" spans="1:17" ht="15.75" thickBot="1" x14ac:dyDescent="0.3">
      <c r="A515" s="8"/>
      <c r="B515" s="8"/>
      <c r="C515" s="138"/>
      <c r="D515" s="138"/>
      <c r="G515" s="155"/>
    </row>
    <row r="516" spans="1:17" ht="15.75" thickBot="1" x14ac:dyDescent="0.3">
      <c r="A516" s="8">
        <v>75</v>
      </c>
      <c r="B516" s="8" t="s">
        <v>133</v>
      </c>
      <c r="C516" s="160" t="s">
        <v>134</v>
      </c>
      <c r="D516" s="206"/>
      <c r="E516" s="142">
        <v>0</v>
      </c>
      <c r="G516" s="152" t="s">
        <v>1014</v>
      </c>
    </row>
    <row r="517" spans="1:17" s="25" customFormat="1" ht="26.25" x14ac:dyDescent="0.25">
      <c r="A517" s="8"/>
      <c r="B517" s="8"/>
      <c r="C517" s="166">
        <v>1</v>
      </c>
      <c r="D517" s="147" t="s">
        <v>814</v>
      </c>
      <c r="E517" s="149"/>
      <c r="G517" s="155"/>
      <c r="H517" s="4"/>
      <c r="M517" s="14"/>
      <c r="N517" s="14"/>
      <c r="O517" s="14"/>
      <c r="P517" s="14"/>
      <c r="Q517" s="14"/>
    </row>
    <row r="518" spans="1:17" s="25" customFormat="1" x14ac:dyDescent="0.25">
      <c r="A518" s="8"/>
      <c r="B518" s="8"/>
      <c r="C518" s="166">
        <v>2</v>
      </c>
      <c r="D518" s="147" t="s">
        <v>815</v>
      </c>
      <c r="E518" s="149"/>
      <c r="G518" s="155"/>
      <c r="H518" s="4"/>
      <c r="M518" s="14"/>
      <c r="N518" s="14"/>
      <c r="O518" s="14"/>
      <c r="P518" s="14"/>
      <c r="Q518" s="14"/>
    </row>
    <row r="519" spans="1:17" s="25" customFormat="1" x14ac:dyDescent="0.25">
      <c r="A519" s="8"/>
      <c r="B519" s="8"/>
      <c r="C519" s="166">
        <v>3</v>
      </c>
      <c r="D519" s="147" t="s">
        <v>816</v>
      </c>
      <c r="E519" s="149"/>
      <c r="G519" s="155"/>
      <c r="H519" s="4"/>
      <c r="M519" s="14"/>
      <c r="N519" s="14"/>
      <c r="O519" s="14"/>
      <c r="P519" s="14"/>
      <c r="Q519" s="14"/>
    </row>
    <row r="520" spans="1:17" s="25" customFormat="1" ht="26.25" x14ac:dyDescent="0.25">
      <c r="A520" s="8"/>
      <c r="B520" s="8"/>
      <c r="C520" s="166">
        <v>4</v>
      </c>
      <c r="D520" s="147" t="s">
        <v>817</v>
      </c>
      <c r="E520" s="149"/>
      <c r="G520" s="155"/>
      <c r="H520" s="4"/>
      <c r="M520" s="14"/>
      <c r="N520" s="14"/>
      <c r="O520" s="14"/>
      <c r="P520" s="14"/>
      <c r="Q520" s="14"/>
    </row>
    <row r="521" spans="1:17" ht="15.75" thickBot="1" x14ac:dyDescent="0.3">
      <c r="A521" s="8"/>
      <c r="B521" s="8"/>
      <c r="C521" s="508" t="s">
        <v>311</v>
      </c>
      <c r="D521" s="509"/>
      <c r="E521" s="144">
        <f>IF(E516&lt;0, "Salah Isi", IF(E516&lt;1, 1, IF(E516&lt;=4, E516, "Salah Isi")))</f>
        <v>1</v>
      </c>
      <c r="G521" s="155"/>
    </row>
    <row r="522" spans="1:17" ht="15.75" thickBot="1" x14ac:dyDescent="0.3">
      <c r="A522" s="8"/>
      <c r="B522" s="8"/>
      <c r="C522" s="138"/>
      <c r="D522" s="138"/>
      <c r="G522" s="155"/>
    </row>
    <row r="523" spans="1:17" ht="66.75" customHeight="1" thickBot="1" x14ac:dyDescent="0.3">
      <c r="A523" s="8">
        <v>76</v>
      </c>
      <c r="B523" s="8" t="s">
        <v>135</v>
      </c>
      <c r="C523" s="500" t="s">
        <v>818</v>
      </c>
      <c r="D523" s="501"/>
      <c r="E523" s="142">
        <v>0</v>
      </c>
      <c r="G523" s="152" t="s">
        <v>1013</v>
      </c>
    </row>
    <row r="524" spans="1:17" s="25" customFormat="1" ht="25.5" customHeight="1" x14ac:dyDescent="0.25">
      <c r="A524" s="8"/>
      <c r="B524" s="8"/>
      <c r="C524" s="215">
        <v>1</v>
      </c>
      <c r="D524" s="178" t="s">
        <v>822</v>
      </c>
      <c r="E524" s="149"/>
      <c r="G524" s="155"/>
      <c r="H524" s="4"/>
      <c r="M524" s="14"/>
      <c r="N524" s="14"/>
      <c r="O524" s="14"/>
      <c r="P524" s="14"/>
      <c r="Q524" s="14"/>
    </row>
    <row r="525" spans="1:17" s="25" customFormat="1" ht="25.5" customHeight="1" x14ac:dyDescent="0.25">
      <c r="A525" s="8"/>
      <c r="B525" s="8"/>
      <c r="C525" s="215">
        <v>2</v>
      </c>
      <c r="D525" s="178" t="s">
        <v>820</v>
      </c>
      <c r="E525" s="149"/>
      <c r="G525" s="155"/>
      <c r="H525" s="4"/>
      <c r="M525" s="14"/>
      <c r="N525" s="14"/>
      <c r="O525" s="14"/>
      <c r="P525" s="14"/>
      <c r="Q525" s="14"/>
    </row>
    <row r="526" spans="1:17" s="25" customFormat="1" ht="26.25" customHeight="1" x14ac:dyDescent="0.25">
      <c r="A526" s="8"/>
      <c r="B526" s="8"/>
      <c r="C526" s="215">
        <v>3</v>
      </c>
      <c r="D526" s="178" t="s">
        <v>819</v>
      </c>
      <c r="E526" s="149"/>
      <c r="G526" s="155"/>
      <c r="H526" s="4"/>
      <c r="M526" s="14"/>
      <c r="N526" s="14"/>
      <c r="O526" s="14"/>
      <c r="P526" s="14"/>
      <c r="Q526" s="14"/>
    </row>
    <row r="527" spans="1:17" s="25" customFormat="1" ht="28.5" customHeight="1" x14ac:dyDescent="0.25">
      <c r="A527" s="8"/>
      <c r="B527" s="8"/>
      <c r="C527" s="215">
        <v>4</v>
      </c>
      <c r="D527" s="178" t="s">
        <v>821</v>
      </c>
      <c r="E527" s="149"/>
      <c r="G527" s="155"/>
      <c r="H527" s="4"/>
      <c r="M527" s="14"/>
      <c r="N527" s="14"/>
      <c r="O527" s="14"/>
      <c r="P527" s="14"/>
      <c r="Q527" s="14"/>
    </row>
    <row r="528" spans="1:17" ht="15.75" thickBot="1" x14ac:dyDescent="0.3">
      <c r="A528" s="8"/>
      <c r="B528" s="8"/>
      <c r="C528" s="508" t="s">
        <v>311</v>
      </c>
      <c r="D528" s="509"/>
      <c r="E528" s="144">
        <f>IF(E523&lt;0, "Salah Isi", IF(E523&lt;1, 1, IF(E523&lt;=4, E523, "Salah Isi")))</f>
        <v>1</v>
      </c>
      <c r="G528" s="155"/>
    </row>
    <row r="529" spans="1:17" ht="15.75" thickBot="1" x14ac:dyDescent="0.3">
      <c r="A529" s="8"/>
      <c r="B529" s="8"/>
      <c r="C529" s="138"/>
      <c r="D529" s="138"/>
      <c r="G529" s="155"/>
    </row>
    <row r="530" spans="1:17" ht="40.5" customHeight="1" thickBot="1" x14ac:dyDescent="0.3">
      <c r="A530" s="8">
        <v>77</v>
      </c>
      <c r="B530" s="8" t="s">
        <v>545</v>
      </c>
      <c r="C530" s="538" t="s">
        <v>824</v>
      </c>
      <c r="D530" s="539"/>
      <c r="E530" s="142">
        <v>2</v>
      </c>
      <c r="G530" s="152" t="s">
        <v>1017</v>
      </c>
    </row>
    <row r="531" spans="1:17" s="25" customFormat="1" ht="26.25" x14ac:dyDescent="0.25">
      <c r="A531" s="8"/>
      <c r="B531" s="8"/>
      <c r="C531" s="262">
        <v>0</v>
      </c>
      <c r="D531" s="147" t="s">
        <v>825</v>
      </c>
      <c r="E531" s="149"/>
      <c r="G531" s="155"/>
      <c r="H531" s="4"/>
      <c r="M531" s="14"/>
      <c r="N531" s="14"/>
      <c r="O531" s="14"/>
      <c r="P531" s="14"/>
      <c r="Q531" s="14"/>
    </row>
    <row r="532" spans="1:17" s="25" customFormat="1" ht="39" x14ac:dyDescent="0.25">
      <c r="A532" s="8"/>
      <c r="B532" s="8"/>
      <c r="C532" s="262">
        <v>1</v>
      </c>
      <c r="D532" s="147" t="s">
        <v>826</v>
      </c>
      <c r="E532" s="149"/>
      <c r="G532" s="155"/>
      <c r="H532" s="4"/>
      <c r="M532" s="14"/>
      <c r="N532" s="14"/>
      <c r="O532" s="14"/>
      <c r="P532" s="14"/>
      <c r="Q532" s="14"/>
    </row>
    <row r="533" spans="1:17" s="25" customFormat="1" ht="26.25" x14ac:dyDescent="0.25">
      <c r="A533" s="8"/>
      <c r="B533" s="8"/>
      <c r="C533" s="262">
        <v>2</v>
      </c>
      <c r="D533" s="147" t="s">
        <v>827</v>
      </c>
      <c r="E533" s="149"/>
      <c r="G533" s="155"/>
      <c r="H533" s="4"/>
      <c r="M533" s="14"/>
      <c r="N533" s="14"/>
      <c r="O533" s="14"/>
      <c r="P533" s="14"/>
      <c r="Q533" s="14"/>
    </row>
    <row r="534" spans="1:17" s="25" customFormat="1" ht="26.25" x14ac:dyDescent="0.25">
      <c r="A534" s="8"/>
      <c r="B534" s="8"/>
      <c r="C534" s="262">
        <v>3</v>
      </c>
      <c r="D534" s="147" t="s">
        <v>828</v>
      </c>
      <c r="E534" s="149"/>
      <c r="G534" s="155"/>
      <c r="H534" s="4"/>
      <c r="M534" s="14"/>
      <c r="N534" s="14"/>
      <c r="O534" s="14"/>
      <c r="P534" s="14"/>
      <c r="Q534" s="14"/>
    </row>
    <row r="535" spans="1:17" s="25" customFormat="1" ht="26.25" x14ac:dyDescent="0.25">
      <c r="A535" s="8"/>
      <c r="B535" s="8"/>
      <c r="C535" s="262">
        <v>4</v>
      </c>
      <c r="D535" s="147" t="s">
        <v>829</v>
      </c>
      <c r="E535" s="149"/>
      <c r="G535" s="155"/>
      <c r="H535" s="4"/>
      <c r="M535" s="14"/>
      <c r="N535" s="14"/>
      <c r="O535" s="14"/>
      <c r="P535" s="14"/>
      <c r="Q535" s="14"/>
    </row>
    <row r="536" spans="1:17" ht="15.75" thickBot="1" x14ac:dyDescent="0.3">
      <c r="A536" s="8"/>
      <c r="B536" s="8"/>
      <c r="C536" s="508" t="s">
        <v>311</v>
      </c>
      <c r="D536" s="509"/>
      <c r="E536" s="144">
        <f>IF(E530&lt;0, "Salah Isi", IF(E530&lt;=4, E530, "Salah Isi"))</f>
        <v>2</v>
      </c>
      <c r="G536" s="155"/>
    </row>
    <row r="537" spans="1:17" ht="15.75" thickBot="1" x14ac:dyDescent="0.3">
      <c r="A537" s="8"/>
      <c r="B537" s="8"/>
      <c r="C537" s="138"/>
      <c r="D537" s="138"/>
      <c r="G537" s="155"/>
    </row>
    <row r="538" spans="1:17" s="25" customFormat="1" ht="29.25" customHeight="1" thickBot="1" x14ac:dyDescent="0.3">
      <c r="A538" s="126">
        <v>78</v>
      </c>
      <c r="B538" s="126" t="s">
        <v>138</v>
      </c>
      <c r="C538" s="510" t="s">
        <v>830</v>
      </c>
      <c r="D538" s="559"/>
      <c r="E538" s="266"/>
      <c r="G538" s="152" t="str">
        <f>"Total dana untuk kegiatan tridarma per tahun = Rp "&amp;TEXT(E542,"0,00")&amp;" juta. "&amp;"Jumlah seluruh mahasiswa pada TS = "&amp;E543&amp;" orang. "&amp;"Rata-rata besar dana operasional = Rp "&amp;TEXT(E544,"0,00")&amp;" juta/mahasiswa."</f>
        <v>Total dana untuk kegiatan tridarma per tahun = Rp 532 juta. Jumlah seluruh mahasiswa pada TS = 98 orang. Rata-rata besar dana operasional = Rp 005 juta/mahasiswa.</v>
      </c>
      <c r="H538" s="4"/>
      <c r="M538" s="14"/>
      <c r="N538" s="14"/>
      <c r="O538" s="14"/>
      <c r="P538" s="14"/>
      <c r="Q538" s="14"/>
    </row>
    <row r="539" spans="1:17" x14ac:dyDescent="0.25">
      <c r="C539" s="188" t="s">
        <v>430</v>
      </c>
      <c r="D539" s="189"/>
      <c r="E539" s="163">
        <f>(0.26*1270.8045+0.3*1064.543604+0.38*1215.383553)/3</f>
        <v>370.53933377999994</v>
      </c>
      <c r="F539" s="77" t="s">
        <v>823</v>
      </c>
      <c r="G539" s="155"/>
    </row>
    <row r="540" spans="1:17" x14ac:dyDescent="0.25">
      <c r="A540" s="126"/>
      <c r="B540" s="126"/>
      <c r="C540" s="242" t="s">
        <v>431</v>
      </c>
      <c r="D540" s="189"/>
      <c r="E540" s="163">
        <f>(0.12*1270.8045+0.11*1064.543604+0.1*1215.383553)/3</f>
        <v>130.37823057999998</v>
      </c>
      <c r="F540" s="77" t="s">
        <v>823</v>
      </c>
      <c r="G540" s="155"/>
    </row>
    <row r="541" spans="1:17" x14ac:dyDescent="0.25">
      <c r="A541" s="126"/>
      <c r="B541" s="126"/>
      <c r="C541" s="242" t="s">
        <v>432</v>
      </c>
      <c r="D541" s="189"/>
      <c r="E541" s="163">
        <f>(0.03*1270.8045+0.03*1064.543604+0.02*1215.383553)/3</f>
        <v>31.456038059999997</v>
      </c>
      <c r="F541" s="77" t="s">
        <v>823</v>
      </c>
      <c r="G541" s="155"/>
    </row>
    <row r="542" spans="1:17" x14ac:dyDescent="0.25">
      <c r="A542" s="126"/>
      <c r="B542" s="126"/>
      <c r="C542" s="242" t="s">
        <v>434</v>
      </c>
      <c r="D542" s="189"/>
      <c r="E542" s="164">
        <f>SUM(E539:E541)</f>
        <v>532.37360241999988</v>
      </c>
      <c r="F542" s="77"/>
      <c r="G542" s="155"/>
    </row>
    <row r="543" spans="1:17" x14ac:dyDescent="0.25">
      <c r="A543" s="126"/>
      <c r="B543" s="126"/>
      <c r="C543" s="242" t="s">
        <v>433</v>
      </c>
      <c r="D543" s="189"/>
      <c r="E543" s="163">
        <v>98</v>
      </c>
      <c r="F543" s="77"/>
      <c r="G543" s="155"/>
    </row>
    <row r="544" spans="1:17" x14ac:dyDescent="0.25">
      <c r="A544" s="126"/>
      <c r="B544" s="126"/>
      <c r="C544" s="242" t="s">
        <v>435</v>
      </c>
      <c r="D544" s="189"/>
      <c r="E544" s="164">
        <f>E542/E543</f>
        <v>5.4323836981632638</v>
      </c>
      <c r="F544" s="77"/>
      <c r="G544" s="155"/>
    </row>
    <row r="545" spans="1:17" ht="15.75" thickBot="1" x14ac:dyDescent="0.3">
      <c r="A545" s="126"/>
      <c r="B545" s="126"/>
      <c r="C545" s="243" t="s">
        <v>311</v>
      </c>
      <c r="D545" s="224"/>
      <c r="E545" s="144">
        <f>IF(E544&gt;=18,4,E544/4.5)</f>
        <v>1.2071963773696142</v>
      </c>
      <c r="F545" s="77"/>
      <c r="G545" s="155"/>
    </row>
    <row r="546" spans="1:17" ht="15.75" thickBot="1" x14ac:dyDescent="0.3">
      <c r="A546" s="126"/>
      <c r="B546" s="126"/>
      <c r="C546" s="204"/>
      <c r="D546" s="204"/>
      <c r="E546" s="77"/>
      <c r="F546" s="77"/>
      <c r="G546" s="155"/>
    </row>
    <row r="547" spans="1:17" s="25" customFormat="1" ht="15.75" thickBot="1" x14ac:dyDescent="0.3">
      <c r="A547" s="126">
        <v>79</v>
      </c>
      <c r="B547" s="126" t="s">
        <v>139</v>
      </c>
      <c r="C547" s="263" t="s">
        <v>140</v>
      </c>
      <c r="D547" s="264"/>
      <c r="E547" s="267"/>
      <c r="F547" s="77"/>
      <c r="G547" s="152" t="str">
        <f>C548&amp;" = Rp "&amp;E548&amp;" juta. "&amp;C549&amp;" = "&amp;E549&amp;" orang. "&amp;C550&amp;" = Rp "&amp;TEXT(E550,"0,00")&amp;" juta."</f>
        <v>Total dana penelitian dalam tiga tahun terakhir = Rp 325 juta. Jumlah dosen tetap dengan keahlian sesuai PS = 6 orang. Rata-rata dana penelitian per dosen per tahun = Rp 018 juta.</v>
      </c>
      <c r="H547" s="4"/>
      <c r="M547" s="14"/>
      <c r="N547" s="14"/>
      <c r="O547" s="14"/>
      <c r="P547" s="14"/>
      <c r="Q547" s="14"/>
    </row>
    <row r="548" spans="1:17" x14ac:dyDescent="0.25">
      <c r="C548" s="188" t="s">
        <v>436</v>
      </c>
      <c r="D548" s="189"/>
      <c r="E548" s="163">
        <f>25+30+30+75+55+60+50</f>
        <v>325</v>
      </c>
      <c r="F548" s="77" t="s">
        <v>823</v>
      </c>
      <c r="G548" s="155"/>
    </row>
    <row r="549" spans="1:17" x14ac:dyDescent="0.25">
      <c r="A549" s="126"/>
      <c r="B549" s="126"/>
      <c r="C549" s="188" t="s">
        <v>437</v>
      </c>
      <c r="D549" s="189"/>
      <c r="E549" s="163">
        <v>6</v>
      </c>
      <c r="F549" s="77"/>
      <c r="G549" s="155"/>
    </row>
    <row r="550" spans="1:17" x14ac:dyDescent="0.25">
      <c r="A550" s="126"/>
      <c r="B550" s="126"/>
      <c r="C550" s="242" t="s">
        <v>438</v>
      </c>
      <c r="D550" s="189"/>
      <c r="E550" s="164">
        <f>E548/(3*E549)</f>
        <v>18.055555555555557</v>
      </c>
      <c r="F550" s="77" t="s">
        <v>823</v>
      </c>
      <c r="G550" s="155"/>
    </row>
    <row r="551" spans="1:17" ht="15.75" thickBot="1" x14ac:dyDescent="0.3">
      <c r="A551" s="126"/>
      <c r="B551" s="126"/>
      <c r="C551" s="243" t="s">
        <v>311</v>
      </c>
      <c r="D551" s="224"/>
      <c r="E551" s="144">
        <f>IF(E550&gt;=3,4,(4*E550)/3)</f>
        <v>4</v>
      </c>
      <c r="F551" s="77"/>
      <c r="G551" s="155"/>
    </row>
    <row r="552" spans="1:17" ht="15.75" thickBot="1" x14ac:dyDescent="0.3">
      <c r="A552" s="126"/>
      <c r="B552" s="126"/>
      <c r="C552" s="204"/>
      <c r="D552" s="204"/>
      <c r="E552" s="77"/>
      <c r="F552" s="77"/>
      <c r="G552" s="155"/>
    </row>
    <row r="553" spans="1:17" s="25" customFormat="1" ht="26.25" customHeight="1" thickBot="1" x14ac:dyDescent="0.3">
      <c r="A553" s="126">
        <v>80</v>
      </c>
      <c r="B553" s="126" t="s">
        <v>141</v>
      </c>
      <c r="C553" s="510" t="s">
        <v>831</v>
      </c>
      <c r="D553" s="559"/>
      <c r="E553" s="267"/>
      <c r="F553" s="77"/>
      <c r="G553" s="152" t="str">
        <f>C554&amp;" = Rp "&amp;E554&amp;" juta. "&amp;C555&amp;" = "&amp;E555&amp;" orang. "&amp;C556&amp;" = Rp "&amp;TEXT(E556,"0,00")&amp;" juta."</f>
        <v>Total dana PkM dalam tiga tahun terakhir = Rp 90 juta. Jumlah dosen tetap PS = 7 orang. Rata-rata dana PkM per dosen per tahun = Rp 004 juta.</v>
      </c>
      <c r="H553" s="4"/>
      <c r="M553" s="14"/>
      <c r="N553" s="14"/>
      <c r="O553" s="14"/>
      <c r="P553" s="14"/>
      <c r="Q553" s="14"/>
    </row>
    <row r="554" spans="1:17" x14ac:dyDescent="0.25">
      <c r="C554" s="188" t="s">
        <v>439</v>
      </c>
      <c r="D554" s="189"/>
      <c r="E554" s="163">
        <v>90</v>
      </c>
      <c r="F554" s="77" t="s">
        <v>823</v>
      </c>
      <c r="G554" s="155"/>
    </row>
    <row r="555" spans="1:17" x14ac:dyDescent="0.25">
      <c r="A555" s="126"/>
      <c r="B555" s="126"/>
      <c r="C555" s="188" t="s">
        <v>440</v>
      </c>
      <c r="D555" s="189"/>
      <c r="E555" s="163">
        <v>7</v>
      </c>
      <c r="F555" s="77"/>
      <c r="G555" s="155"/>
    </row>
    <row r="556" spans="1:17" x14ac:dyDescent="0.25">
      <c r="A556" s="126"/>
      <c r="B556" s="126"/>
      <c r="C556" s="242" t="s">
        <v>441</v>
      </c>
      <c r="D556" s="189"/>
      <c r="E556" s="164">
        <f>E554/(3*E555)</f>
        <v>4.2857142857142856</v>
      </c>
      <c r="F556" s="77" t="s">
        <v>823</v>
      </c>
      <c r="G556" s="155"/>
    </row>
    <row r="557" spans="1:17" ht="15.75" thickBot="1" x14ac:dyDescent="0.3">
      <c r="A557" s="126"/>
      <c r="B557" s="126"/>
      <c r="C557" s="243" t="s">
        <v>311</v>
      </c>
      <c r="D557" s="224"/>
      <c r="E557" s="144">
        <f>IF(E556&gt;=1.5,4,(8*E556)/3)</f>
        <v>4</v>
      </c>
      <c r="F557" s="77"/>
      <c r="G557" s="155"/>
    </row>
    <row r="558" spans="1:17" ht="15.75" thickBot="1" x14ac:dyDescent="0.3">
      <c r="A558" s="126"/>
      <c r="B558" s="126"/>
      <c r="C558" s="204"/>
      <c r="D558" s="204"/>
      <c r="E558" s="77"/>
      <c r="F558" s="77"/>
      <c r="G558" s="155"/>
    </row>
    <row r="559" spans="1:17" s="25" customFormat="1" ht="15.75" thickBot="1" x14ac:dyDescent="0.3">
      <c r="A559" s="126">
        <v>81</v>
      </c>
      <c r="B559" s="126" t="s">
        <v>143</v>
      </c>
      <c r="C559" s="170" t="s">
        <v>832</v>
      </c>
      <c r="D559" s="187"/>
      <c r="E559" s="162"/>
      <c r="F559" s="77"/>
      <c r="G559" s="152" t="str">
        <f>C567&amp;" = "&amp;E567&amp;" orang, menempati ruang dosen dengan luas total "&amp;E565&amp;" m2. "&amp;"Dengan demikian rasio luas ruang per dosen = "&amp;TEXT(E565/E567,"0,00")&amp;" m2/dosen."</f>
        <v>Banyaknya dosen tetap dengan bidang sesuai PS = 11 orang, menempati ruang dosen dengan luas total 72 m2. Dengan demikian rasio luas ruang per dosen = 007 m2/dosen.</v>
      </c>
      <c r="H559" s="4"/>
      <c r="M559" s="14"/>
      <c r="N559" s="14"/>
      <c r="O559" s="14"/>
      <c r="P559" s="14"/>
      <c r="Q559" s="14"/>
    </row>
    <row r="560" spans="1:17" x14ac:dyDescent="0.25">
      <c r="C560" s="253" t="s">
        <v>204</v>
      </c>
      <c r="D560" s="254" t="s">
        <v>445</v>
      </c>
      <c r="E560" s="163">
        <v>24</v>
      </c>
      <c r="F560" s="77"/>
      <c r="G560" s="155"/>
    </row>
    <row r="561" spans="1:17" x14ac:dyDescent="0.25">
      <c r="A561" s="126"/>
      <c r="B561" s="126"/>
      <c r="C561" s="253" t="s">
        <v>206</v>
      </c>
      <c r="D561" s="254" t="s">
        <v>446</v>
      </c>
      <c r="E561" s="163">
        <v>48</v>
      </c>
      <c r="F561" s="77"/>
      <c r="G561" s="155"/>
    </row>
    <row r="562" spans="1:17" x14ac:dyDescent="0.25">
      <c r="A562" s="126"/>
      <c r="B562" s="126"/>
      <c r="C562" s="253" t="s">
        <v>211</v>
      </c>
      <c r="D562" s="254" t="s">
        <v>447</v>
      </c>
      <c r="E562" s="163">
        <v>0</v>
      </c>
      <c r="F562" s="77"/>
      <c r="G562" s="155"/>
    </row>
    <row r="563" spans="1:17" x14ac:dyDescent="0.25">
      <c r="A563" s="126"/>
      <c r="B563" s="126"/>
      <c r="C563" s="253" t="s">
        <v>213</v>
      </c>
      <c r="D563" s="254" t="s">
        <v>448</v>
      </c>
      <c r="E563" s="163">
        <v>0</v>
      </c>
      <c r="F563" s="77"/>
      <c r="G563" s="155"/>
    </row>
    <row r="564" spans="1:17" x14ac:dyDescent="0.25">
      <c r="A564" s="126"/>
      <c r="B564" s="126"/>
      <c r="C564" s="253" t="s">
        <v>326</v>
      </c>
      <c r="D564" s="254" t="s">
        <v>442</v>
      </c>
      <c r="E564" s="164">
        <f>(E560)+(2*E561)+(3*E562)+(4*E563)</f>
        <v>120</v>
      </c>
      <c r="F564" s="77"/>
      <c r="G564" s="155"/>
    </row>
    <row r="565" spans="1:17" x14ac:dyDescent="0.25">
      <c r="A565" s="126"/>
      <c r="B565" s="126"/>
      <c r="C565" s="255" t="s">
        <v>328</v>
      </c>
      <c r="D565" s="256" t="s">
        <v>443</v>
      </c>
      <c r="E565" s="164">
        <f>E560+E561+E562+E563</f>
        <v>72</v>
      </c>
      <c r="F565" s="77"/>
      <c r="G565" s="155"/>
    </row>
    <row r="566" spans="1:17" x14ac:dyDescent="0.25">
      <c r="A566" s="126"/>
      <c r="B566" s="126"/>
      <c r="C566" s="253" t="s">
        <v>329</v>
      </c>
      <c r="D566" s="254" t="s">
        <v>444</v>
      </c>
      <c r="E566" s="164">
        <f>E564/E565</f>
        <v>1.6666666666666667</v>
      </c>
      <c r="F566" s="77"/>
      <c r="G566" s="155"/>
    </row>
    <row r="567" spans="1:17" x14ac:dyDescent="0.25">
      <c r="A567" s="126"/>
      <c r="B567" s="126"/>
      <c r="C567" s="245" t="s">
        <v>521</v>
      </c>
      <c r="D567" s="123"/>
      <c r="E567" s="163">
        <v>11</v>
      </c>
      <c r="F567" s="77"/>
      <c r="G567" s="155"/>
    </row>
    <row r="568" spans="1:17" ht="15.75" thickBot="1" x14ac:dyDescent="0.3">
      <c r="A568" s="126"/>
      <c r="B568" s="126"/>
      <c r="C568" s="257" t="s">
        <v>311</v>
      </c>
      <c r="D568" s="258"/>
      <c r="E568" s="144">
        <f>IF(E565/E567&lt;4, 0, E566)</f>
        <v>1.6666666666666667</v>
      </c>
      <c r="F568" s="77"/>
      <c r="G568" s="155"/>
    </row>
    <row r="569" spans="1:17" ht="15.75" thickBot="1" x14ac:dyDescent="0.3">
      <c r="A569" s="8"/>
      <c r="B569" s="8"/>
      <c r="C569" s="138"/>
      <c r="D569" s="138"/>
      <c r="G569" s="155"/>
    </row>
    <row r="570" spans="1:17" s="25" customFormat="1" ht="42.75" customHeight="1" thickBot="1" x14ac:dyDescent="0.3">
      <c r="A570" s="8">
        <v>82</v>
      </c>
      <c r="B570" s="8" t="s">
        <v>145</v>
      </c>
      <c r="C570" s="500" t="s">
        <v>146</v>
      </c>
      <c r="D570" s="501"/>
      <c r="E570" s="167"/>
      <c r="G570" s="152" t="s">
        <v>1018</v>
      </c>
      <c r="H570" s="4"/>
      <c r="M570" s="14"/>
      <c r="N570" s="14"/>
      <c r="O570" s="14"/>
      <c r="P570" s="14"/>
      <c r="Q570" s="14"/>
    </row>
    <row r="571" spans="1:17" x14ac:dyDescent="0.25">
      <c r="C571" s="265" t="s">
        <v>546</v>
      </c>
      <c r="D571" s="123"/>
      <c r="E571" s="163">
        <v>0</v>
      </c>
      <c r="G571" s="155"/>
    </row>
    <row r="572" spans="1:17" s="25" customFormat="1" x14ac:dyDescent="0.25">
      <c r="A572" s="4"/>
      <c r="B572" s="4"/>
      <c r="C572" s="166">
        <v>1</v>
      </c>
      <c r="D572" s="147" t="s">
        <v>834</v>
      </c>
      <c r="E572" s="149"/>
      <c r="G572" s="155"/>
      <c r="H572" s="4"/>
      <c r="M572" s="14"/>
      <c r="N572" s="14"/>
      <c r="O572" s="14"/>
      <c r="P572" s="14"/>
      <c r="Q572" s="14"/>
    </row>
    <row r="573" spans="1:17" s="25" customFormat="1" ht="26.25" x14ac:dyDescent="0.25">
      <c r="A573" s="4"/>
      <c r="B573" s="4"/>
      <c r="C573" s="166">
        <v>2</v>
      </c>
      <c r="D573" s="147" t="s">
        <v>835</v>
      </c>
      <c r="E573" s="149"/>
      <c r="G573" s="155"/>
      <c r="H573" s="4"/>
      <c r="M573" s="14"/>
      <c r="N573" s="14"/>
      <c r="O573" s="14"/>
      <c r="P573" s="14"/>
      <c r="Q573" s="14"/>
    </row>
    <row r="574" spans="1:17" s="25" customFormat="1" ht="26.25" x14ac:dyDescent="0.25">
      <c r="A574" s="4"/>
      <c r="B574" s="4"/>
      <c r="C574" s="166">
        <v>3</v>
      </c>
      <c r="D574" s="147" t="s">
        <v>836</v>
      </c>
      <c r="E574" s="149"/>
      <c r="G574" s="155"/>
      <c r="H574" s="4"/>
      <c r="M574" s="14"/>
      <c r="N574" s="14"/>
      <c r="O574" s="14"/>
      <c r="P574" s="14"/>
      <c r="Q574" s="14"/>
    </row>
    <row r="575" spans="1:17" s="25" customFormat="1" ht="26.25" x14ac:dyDescent="0.25">
      <c r="A575" s="4"/>
      <c r="B575" s="4"/>
      <c r="C575" s="166">
        <v>4</v>
      </c>
      <c r="D575" s="147" t="s">
        <v>837</v>
      </c>
      <c r="E575" s="149"/>
      <c r="G575" s="155"/>
      <c r="H575" s="4"/>
      <c r="M575" s="14"/>
      <c r="N575" s="14"/>
      <c r="O575" s="14"/>
      <c r="P575" s="14"/>
      <c r="Q575" s="14"/>
    </row>
    <row r="576" spans="1:17" ht="15.75" thickBot="1" x14ac:dyDescent="0.3">
      <c r="A576" s="8"/>
      <c r="B576" s="8"/>
      <c r="C576" s="508" t="s">
        <v>311</v>
      </c>
      <c r="D576" s="509"/>
      <c r="E576" s="144">
        <f>IF(E571&lt;0, "Salah Isi", IF(E571&lt;1, 1, IF(E571&lt;=4, E571, "Salah Isi")))</f>
        <v>1</v>
      </c>
      <c r="G576" s="155"/>
    </row>
    <row r="577" spans="1:17" ht="15.75" thickBot="1" x14ac:dyDescent="0.3">
      <c r="A577" s="8"/>
      <c r="B577" s="8"/>
      <c r="C577" s="138"/>
      <c r="D577" s="138"/>
      <c r="G577" s="155"/>
    </row>
    <row r="578" spans="1:17" ht="30" customHeight="1" thickBot="1" x14ac:dyDescent="0.3">
      <c r="A578" s="8">
        <v>83</v>
      </c>
      <c r="B578" s="8" t="s">
        <v>147</v>
      </c>
      <c r="C578" s="500" t="s">
        <v>833</v>
      </c>
      <c r="D578" s="501"/>
      <c r="E578" s="142">
        <v>3</v>
      </c>
      <c r="G578" s="152" t="s">
        <v>1019</v>
      </c>
    </row>
    <row r="579" spans="1:17" s="25" customFormat="1" ht="15.75" customHeight="1" x14ac:dyDescent="0.25">
      <c r="A579" s="8"/>
      <c r="B579" s="8"/>
      <c r="C579" s="215">
        <v>0</v>
      </c>
      <c r="D579" s="251" t="s">
        <v>842</v>
      </c>
      <c r="E579" s="149"/>
      <c r="G579" s="155"/>
      <c r="H579" s="4"/>
      <c r="M579" s="14"/>
      <c r="N579" s="14"/>
      <c r="O579" s="14"/>
      <c r="P579" s="14"/>
      <c r="Q579" s="14"/>
    </row>
    <row r="580" spans="1:17" s="25" customFormat="1" ht="27" customHeight="1" x14ac:dyDescent="0.25">
      <c r="A580" s="8"/>
      <c r="B580" s="8"/>
      <c r="C580" s="215">
        <v>1</v>
      </c>
      <c r="D580" s="251" t="s">
        <v>838</v>
      </c>
      <c r="E580" s="149"/>
      <c r="G580" s="155"/>
      <c r="H580" s="4"/>
      <c r="M580" s="14"/>
      <c r="N580" s="14"/>
      <c r="O580" s="14"/>
      <c r="P580" s="14"/>
      <c r="Q580" s="14"/>
    </row>
    <row r="581" spans="1:17" s="25" customFormat="1" ht="27" customHeight="1" x14ac:dyDescent="0.25">
      <c r="A581" s="8"/>
      <c r="B581" s="8"/>
      <c r="C581" s="215">
        <v>2</v>
      </c>
      <c r="D581" s="251" t="s">
        <v>839</v>
      </c>
      <c r="E581" s="149"/>
      <c r="G581" s="155"/>
      <c r="H581" s="4"/>
      <c r="M581" s="14"/>
      <c r="N581" s="14"/>
      <c r="O581" s="14"/>
      <c r="P581" s="14"/>
      <c r="Q581" s="14"/>
    </row>
    <row r="582" spans="1:17" s="25" customFormat="1" ht="26.25" customHeight="1" x14ac:dyDescent="0.25">
      <c r="A582" s="8"/>
      <c r="B582" s="8"/>
      <c r="C582" s="215">
        <v>3</v>
      </c>
      <c r="D582" s="251" t="s">
        <v>840</v>
      </c>
      <c r="E582" s="149"/>
      <c r="G582" s="155"/>
      <c r="H582" s="4"/>
      <c r="M582" s="14"/>
      <c r="N582" s="14"/>
      <c r="O582" s="14"/>
      <c r="P582" s="14"/>
      <c r="Q582" s="14"/>
    </row>
    <row r="583" spans="1:17" s="25" customFormat="1" ht="27" customHeight="1" x14ac:dyDescent="0.25">
      <c r="A583" s="8"/>
      <c r="B583" s="8"/>
      <c r="C583" s="215">
        <v>4</v>
      </c>
      <c r="D583" s="251" t="s">
        <v>841</v>
      </c>
      <c r="E583" s="149"/>
      <c r="G583" s="155"/>
      <c r="H583" s="4"/>
      <c r="M583" s="14"/>
      <c r="N583" s="14"/>
      <c r="O583" s="14"/>
      <c r="P583" s="14"/>
      <c r="Q583" s="14"/>
    </row>
    <row r="584" spans="1:17" ht="15.75" thickBot="1" x14ac:dyDescent="0.3">
      <c r="A584" s="8"/>
      <c r="B584" s="8"/>
      <c r="C584" s="508" t="s">
        <v>311</v>
      </c>
      <c r="D584" s="509"/>
      <c r="E584" s="144">
        <f>IF(E578&lt;0, "Salah Isi", IF(E578&lt;=4, E578, "Salah Isi"))</f>
        <v>3</v>
      </c>
      <c r="G584" s="155"/>
    </row>
    <row r="585" spans="1:17" ht="15.75" thickBot="1" x14ac:dyDescent="0.3">
      <c r="A585" s="8"/>
      <c r="B585" s="8"/>
      <c r="C585" s="138"/>
      <c r="D585" s="138"/>
      <c r="G585" s="155"/>
    </row>
    <row r="586" spans="1:17" ht="15.75" thickBot="1" x14ac:dyDescent="0.3">
      <c r="A586" s="126">
        <v>84</v>
      </c>
      <c r="B586" s="126" t="s">
        <v>149</v>
      </c>
      <c r="C586" s="201" t="s">
        <v>449</v>
      </c>
      <c r="D586" s="187"/>
      <c r="E586" s="142">
        <v>1837</v>
      </c>
      <c r="F586" s="77"/>
      <c r="G586" s="152" t="str">
        <f>"Jumlah pustaka berupa buku teks yang relevan = "&amp;E586&amp;" judul."</f>
        <v>Jumlah pustaka berupa buku teks yang relevan = 1837 judul.</v>
      </c>
    </row>
    <row r="587" spans="1:17" x14ac:dyDescent="0.25">
      <c r="A587" s="126"/>
      <c r="B587" s="126"/>
      <c r="C587" s="242" t="s">
        <v>450</v>
      </c>
      <c r="D587" s="189"/>
      <c r="E587" s="164">
        <f>E586/100</f>
        <v>18.37</v>
      </c>
      <c r="F587" s="77"/>
      <c r="G587" s="155"/>
    </row>
    <row r="588" spans="1:17" ht="15.75" thickBot="1" x14ac:dyDescent="0.3">
      <c r="A588" s="126"/>
      <c r="B588" s="126"/>
      <c r="C588" s="243" t="s">
        <v>311</v>
      </c>
      <c r="D588" s="224"/>
      <c r="E588" s="144">
        <f>IF(E587&gt;=4,4,E587)</f>
        <v>4</v>
      </c>
      <c r="F588" s="77"/>
      <c r="G588" s="155"/>
    </row>
    <row r="589" spans="1:17" ht="15.75" thickBot="1" x14ac:dyDescent="0.3">
      <c r="A589" s="126"/>
      <c r="B589" s="126"/>
      <c r="C589" s="204"/>
      <c r="D589" s="204"/>
      <c r="E589" s="126"/>
      <c r="F589" s="77"/>
      <c r="G589" s="155"/>
    </row>
    <row r="590" spans="1:17" ht="15.75" thickBot="1" x14ac:dyDescent="0.3">
      <c r="A590" s="126">
        <v>85</v>
      </c>
      <c r="B590" s="126" t="s">
        <v>151</v>
      </c>
      <c r="C590" s="186" t="s">
        <v>451</v>
      </c>
      <c r="D590" s="187"/>
      <c r="E590" s="142">
        <v>208</v>
      </c>
      <c r="F590" s="77"/>
      <c r="G590" s="152" t="str">
        <f>"Jumlah pustaka berupa disertasi/tesis/skripsi/TA = "&amp;E590&amp;" eksemplar."</f>
        <v>Jumlah pustaka berupa disertasi/tesis/skripsi/TA = 208 eksemplar.</v>
      </c>
    </row>
    <row r="591" spans="1:17" x14ac:dyDescent="0.25">
      <c r="A591" s="126"/>
      <c r="B591" s="126"/>
      <c r="C591" s="242" t="s">
        <v>450</v>
      </c>
      <c r="D591" s="189"/>
      <c r="E591" s="164">
        <f>E590/50</f>
        <v>4.16</v>
      </c>
      <c r="F591" s="77"/>
      <c r="G591" s="155"/>
    </row>
    <row r="592" spans="1:17" ht="15.75" thickBot="1" x14ac:dyDescent="0.3">
      <c r="A592" s="126"/>
      <c r="B592" s="126"/>
      <c r="C592" s="243" t="s">
        <v>311</v>
      </c>
      <c r="D592" s="224"/>
      <c r="E592" s="144">
        <f>IF(E591&gt;=4,4,E591)</f>
        <v>4</v>
      </c>
      <c r="F592" s="77"/>
      <c r="G592" s="155"/>
    </row>
    <row r="593" spans="1:17" ht="15.75" thickBot="1" x14ac:dyDescent="0.3">
      <c r="A593" s="8"/>
      <c r="B593" s="8"/>
      <c r="C593" s="138"/>
      <c r="D593" s="138"/>
      <c r="G593" s="155"/>
    </row>
    <row r="594" spans="1:17" ht="15.75" thickBot="1" x14ac:dyDescent="0.3">
      <c r="A594" s="8">
        <v>86</v>
      </c>
      <c r="B594" s="8" t="s">
        <v>153</v>
      </c>
      <c r="C594" s="160" t="s">
        <v>547</v>
      </c>
      <c r="D594" s="206"/>
      <c r="E594" s="142">
        <v>0</v>
      </c>
      <c r="G594" s="152" t="str">
        <f>"Jumlah judul jurnal ilmiah terakreditasi Dikti = "&amp;E594&amp;" judul."</f>
        <v>Jumlah judul jurnal ilmiah terakreditasi Dikti = 0 judul.</v>
      </c>
    </row>
    <row r="595" spans="1:17" s="25" customFormat="1" x14ac:dyDescent="0.25">
      <c r="A595" s="8"/>
      <c r="B595" s="8"/>
      <c r="C595" s="166">
        <v>0</v>
      </c>
      <c r="D595" s="123" t="s">
        <v>843</v>
      </c>
      <c r="E595" s="149"/>
      <c r="G595" s="155"/>
      <c r="H595" s="4"/>
      <c r="M595" s="14"/>
      <c r="N595" s="14"/>
      <c r="O595" s="14"/>
      <c r="P595" s="14"/>
      <c r="Q595" s="14"/>
    </row>
    <row r="596" spans="1:17" s="25" customFormat="1" x14ac:dyDescent="0.25">
      <c r="A596" s="8"/>
      <c r="B596" s="8"/>
      <c r="C596" s="166">
        <v>1</v>
      </c>
      <c r="D596" s="123" t="s">
        <v>844</v>
      </c>
      <c r="E596" s="149"/>
      <c r="G596" s="155"/>
      <c r="H596" s="4"/>
      <c r="M596" s="14"/>
      <c r="N596" s="14"/>
      <c r="O596" s="14"/>
      <c r="P596" s="14"/>
      <c r="Q596" s="14"/>
    </row>
    <row r="597" spans="1:17" s="25" customFormat="1" x14ac:dyDescent="0.25">
      <c r="A597" s="8"/>
      <c r="B597" s="8"/>
      <c r="C597" s="166">
        <v>2</v>
      </c>
      <c r="D597" s="123" t="s">
        <v>845</v>
      </c>
      <c r="E597" s="149"/>
      <c r="G597" s="155"/>
      <c r="H597" s="4"/>
      <c r="M597" s="14"/>
      <c r="N597" s="14"/>
      <c r="O597" s="14"/>
      <c r="P597" s="14"/>
      <c r="Q597" s="14"/>
    </row>
    <row r="598" spans="1:17" s="25" customFormat="1" x14ac:dyDescent="0.25">
      <c r="A598" s="8"/>
      <c r="B598" s="8"/>
      <c r="C598" s="166">
        <v>3</v>
      </c>
      <c r="D598" s="123" t="s">
        <v>846</v>
      </c>
      <c r="E598" s="149"/>
      <c r="G598" s="155"/>
      <c r="H598" s="4"/>
      <c r="M598" s="14"/>
      <c r="N598" s="14"/>
      <c r="O598" s="14"/>
      <c r="P598" s="14"/>
      <c r="Q598" s="14"/>
    </row>
    <row r="599" spans="1:17" s="25" customFormat="1" x14ac:dyDescent="0.25">
      <c r="A599" s="8"/>
      <c r="B599" s="8"/>
      <c r="C599" s="166">
        <v>4</v>
      </c>
      <c r="D599" s="123" t="s">
        <v>847</v>
      </c>
      <c r="E599" s="149"/>
      <c r="G599" s="155"/>
      <c r="H599" s="4"/>
      <c r="M599" s="14"/>
      <c r="N599" s="14"/>
      <c r="O599" s="14"/>
      <c r="P599" s="14"/>
      <c r="Q599" s="14"/>
    </row>
    <row r="600" spans="1:17" ht="15.75" thickBot="1" x14ac:dyDescent="0.3">
      <c r="A600" s="8"/>
      <c r="B600" s="8"/>
      <c r="C600" s="520" t="s">
        <v>311</v>
      </c>
      <c r="D600" s="521"/>
      <c r="E600" s="144">
        <f>IF(E594&lt;0, "Salah Isi", IF(E594&lt;=4, E594, "Salah Isi"))</f>
        <v>0</v>
      </c>
      <c r="G600" s="155"/>
    </row>
    <row r="601" spans="1:17" ht="15.75" thickBot="1" x14ac:dyDescent="0.3">
      <c r="A601" s="8"/>
      <c r="B601" s="8"/>
      <c r="C601" s="138"/>
      <c r="D601" s="138"/>
      <c r="G601" s="155"/>
    </row>
    <row r="602" spans="1:17" ht="15.75" thickBot="1" x14ac:dyDescent="0.3">
      <c r="A602" s="8">
        <v>87</v>
      </c>
      <c r="B602" s="8" t="s">
        <v>155</v>
      </c>
      <c r="C602" s="160" t="s">
        <v>548</v>
      </c>
      <c r="D602" s="206"/>
      <c r="E602" s="142">
        <v>1</v>
      </c>
      <c r="G602" s="152" t="str">
        <f>"Jumlah judul jurnal ilmiah internasional = "&amp;E602&amp;" judul."</f>
        <v>Jumlah judul jurnal ilmiah internasional = 1 judul.</v>
      </c>
    </row>
    <row r="603" spans="1:17" s="25" customFormat="1" x14ac:dyDescent="0.25">
      <c r="A603" s="8"/>
      <c r="B603" s="8"/>
      <c r="C603" s="166">
        <v>2</v>
      </c>
      <c r="D603" s="123" t="s">
        <v>844</v>
      </c>
      <c r="E603" s="149"/>
      <c r="G603" s="155"/>
      <c r="H603" s="4"/>
      <c r="M603" s="14"/>
      <c r="N603" s="14"/>
      <c r="O603" s="14"/>
      <c r="P603" s="14"/>
      <c r="Q603" s="14"/>
    </row>
    <row r="604" spans="1:17" s="25" customFormat="1" x14ac:dyDescent="0.25">
      <c r="A604" s="8"/>
      <c r="B604" s="8"/>
      <c r="C604" s="166">
        <v>3</v>
      </c>
      <c r="D604" s="123" t="s">
        <v>848</v>
      </c>
      <c r="E604" s="149"/>
      <c r="G604" s="155"/>
      <c r="H604" s="4"/>
      <c r="M604" s="14"/>
      <c r="N604" s="14"/>
      <c r="O604" s="14"/>
      <c r="P604" s="14"/>
      <c r="Q604" s="14"/>
    </row>
    <row r="605" spans="1:17" s="25" customFormat="1" x14ac:dyDescent="0.25">
      <c r="A605" s="8"/>
      <c r="B605" s="8"/>
      <c r="C605" s="166">
        <v>4</v>
      </c>
      <c r="D605" s="123" t="s">
        <v>849</v>
      </c>
      <c r="E605" s="149"/>
      <c r="G605" s="155"/>
      <c r="H605" s="4"/>
      <c r="M605" s="14"/>
      <c r="N605" s="14"/>
      <c r="O605" s="14"/>
      <c r="P605" s="14"/>
      <c r="Q605" s="14"/>
    </row>
    <row r="606" spans="1:17" ht="15.75" thickBot="1" x14ac:dyDescent="0.3">
      <c r="A606" s="8"/>
      <c r="B606" s="8"/>
      <c r="C606" s="520" t="s">
        <v>311</v>
      </c>
      <c r="D606" s="521"/>
      <c r="E606" s="165">
        <f>IF(E602&lt;0,"Salah Isi",IF(E602&lt;2,2,E602))</f>
        <v>2</v>
      </c>
      <c r="G606" s="155"/>
    </row>
    <row r="607" spans="1:17" ht="15.75" thickBot="1" x14ac:dyDescent="0.3">
      <c r="A607" s="8"/>
      <c r="B607" s="8"/>
      <c r="C607" s="138"/>
      <c r="D607" s="138"/>
      <c r="G607" s="155"/>
    </row>
    <row r="608" spans="1:17" ht="15.75" thickBot="1" x14ac:dyDescent="0.3">
      <c r="A608" s="126">
        <v>88</v>
      </c>
      <c r="B608" s="126" t="s">
        <v>452</v>
      </c>
      <c r="C608" s="186" t="s">
        <v>453</v>
      </c>
      <c r="D608" s="187"/>
      <c r="E608" s="142">
        <v>67</v>
      </c>
      <c r="F608" s="77"/>
      <c r="G608" s="152" t="str">
        <f>"Banyak prosiding seminar = "&amp;E608&amp;" judul."</f>
        <v>Banyak prosiding seminar = 67 judul.</v>
      </c>
    </row>
    <row r="609" spans="1:17" ht="15.75" thickBot="1" x14ac:dyDescent="0.3">
      <c r="A609" s="126"/>
      <c r="B609" s="126"/>
      <c r="C609" s="526" t="s">
        <v>311</v>
      </c>
      <c r="D609" s="527"/>
      <c r="E609" s="144">
        <f>IF((4*E608)/9&gt;4, 4, (4*E608)/9)</f>
        <v>4</v>
      </c>
      <c r="F609" s="87"/>
      <c r="G609" s="155"/>
    </row>
    <row r="610" spans="1:17" ht="15.75" thickBot="1" x14ac:dyDescent="0.3">
      <c r="A610" s="8"/>
      <c r="B610" s="8"/>
      <c r="C610" s="138"/>
      <c r="D610" s="138"/>
      <c r="G610" s="155"/>
    </row>
    <row r="611" spans="1:17" ht="15.75" thickBot="1" x14ac:dyDescent="0.3">
      <c r="A611" s="8">
        <v>89</v>
      </c>
      <c r="B611" s="8" t="s">
        <v>158</v>
      </c>
      <c r="C611" s="160" t="s">
        <v>159</v>
      </c>
      <c r="D611" s="206"/>
      <c r="E611" s="185"/>
      <c r="G611" s="152" t="s">
        <v>1020</v>
      </c>
    </row>
    <row r="612" spans="1:17" x14ac:dyDescent="0.25">
      <c r="A612" s="8"/>
      <c r="B612" s="8"/>
      <c r="C612" s="265" t="s">
        <v>549</v>
      </c>
      <c r="D612" s="123"/>
      <c r="E612" s="163">
        <v>1</v>
      </c>
      <c r="G612" s="155"/>
    </row>
    <row r="613" spans="1:17" s="25" customFormat="1" x14ac:dyDescent="0.25">
      <c r="A613" s="8"/>
      <c r="B613" s="8"/>
      <c r="C613" s="166">
        <v>1</v>
      </c>
      <c r="D613" s="147" t="s">
        <v>850</v>
      </c>
      <c r="E613" s="149"/>
      <c r="G613" s="155"/>
      <c r="H613" s="4"/>
      <c r="M613" s="14"/>
      <c r="N613" s="14"/>
      <c r="O613" s="14"/>
      <c r="P613" s="14"/>
      <c r="Q613" s="14"/>
    </row>
    <row r="614" spans="1:17" s="25" customFormat="1" ht="26.25" x14ac:dyDescent="0.25">
      <c r="A614" s="8"/>
      <c r="B614" s="8"/>
      <c r="C614" s="166">
        <v>2</v>
      </c>
      <c r="D614" s="147" t="s">
        <v>851</v>
      </c>
      <c r="E614" s="149"/>
      <c r="G614" s="155"/>
      <c r="H614" s="4"/>
      <c r="M614" s="14"/>
      <c r="N614" s="14"/>
      <c r="O614" s="14"/>
      <c r="P614" s="14"/>
      <c r="Q614" s="14"/>
    </row>
    <row r="615" spans="1:17" s="25" customFormat="1" ht="26.25" x14ac:dyDescent="0.25">
      <c r="A615" s="8"/>
      <c r="B615" s="8"/>
      <c r="C615" s="166">
        <v>3</v>
      </c>
      <c r="D615" s="147" t="s">
        <v>852</v>
      </c>
      <c r="E615" s="149"/>
      <c r="G615" s="155"/>
      <c r="H615" s="4"/>
      <c r="M615" s="14"/>
      <c r="N615" s="14"/>
      <c r="O615" s="14"/>
      <c r="P615" s="14"/>
      <c r="Q615" s="14"/>
    </row>
    <row r="616" spans="1:17" s="25" customFormat="1" ht="39" x14ac:dyDescent="0.25">
      <c r="A616" s="8"/>
      <c r="B616" s="8"/>
      <c r="C616" s="166">
        <v>4</v>
      </c>
      <c r="D616" s="147" t="s">
        <v>853</v>
      </c>
      <c r="E616" s="149"/>
      <c r="G616" s="155"/>
      <c r="H616" s="4"/>
      <c r="M616" s="14"/>
      <c r="N616" s="14"/>
      <c r="O616" s="14"/>
      <c r="P616" s="14"/>
      <c r="Q616" s="14"/>
    </row>
    <row r="617" spans="1:17" ht="15.75" thickBot="1" x14ac:dyDescent="0.3">
      <c r="A617" s="126"/>
      <c r="B617" s="126"/>
      <c r="C617" s="502" t="s">
        <v>311</v>
      </c>
      <c r="D617" s="503"/>
      <c r="E617" s="144">
        <f>IF(E612&lt;0, "Salah Isi", IF((E588+E592+E600+E606+E609)/5 &gt;= 3, 4, IF(E612&lt;1, 1, IF(E612&lt;=4, E612, "Salah Isi"))))</f>
        <v>1</v>
      </c>
      <c r="F617" s="77"/>
      <c r="G617" s="155"/>
    </row>
    <row r="618" spans="1:17" ht="15.75" thickBot="1" x14ac:dyDescent="0.3">
      <c r="A618" s="8"/>
      <c r="B618" s="8"/>
      <c r="C618" s="138"/>
      <c r="D618" s="138"/>
      <c r="G618" s="155"/>
    </row>
    <row r="619" spans="1:17" ht="28.5" customHeight="1" thickBot="1" x14ac:dyDescent="0.3">
      <c r="A619" s="8">
        <v>90</v>
      </c>
      <c r="B619" s="8" t="s">
        <v>160</v>
      </c>
      <c r="C619" s="538" t="s">
        <v>550</v>
      </c>
      <c r="D619" s="539"/>
      <c r="E619" s="142">
        <v>3</v>
      </c>
      <c r="G619" s="152" t="str">
        <f>C619</f>
        <v xml:space="preserve">Ketersediaan, akses dan pendayagunaan sarana utama di laboratorium. </v>
      </c>
    </row>
    <row r="620" spans="1:17" s="25" customFormat="1" ht="26.25" x14ac:dyDescent="0.25">
      <c r="A620" s="8"/>
      <c r="B620" s="8"/>
      <c r="C620" s="262">
        <v>0</v>
      </c>
      <c r="D620" s="145" t="s">
        <v>854</v>
      </c>
      <c r="E620" s="149"/>
      <c r="G620" s="155"/>
      <c r="H620" s="4"/>
      <c r="M620" s="14"/>
      <c r="N620" s="14"/>
      <c r="O620" s="14"/>
      <c r="P620" s="14"/>
      <c r="Q620" s="14"/>
    </row>
    <row r="621" spans="1:17" s="25" customFormat="1" ht="26.25" x14ac:dyDescent="0.25">
      <c r="A621" s="8"/>
      <c r="B621" s="8"/>
      <c r="C621" s="262">
        <v>1</v>
      </c>
      <c r="D621" s="147" t="s">
        <v>855</v>
      </c>
      <c r="E621" s="149"/>
      <c r="G621" s="155"/>
      <c r="H621" s="4"/>
      <c r="M621" s="14"/>
      <c r="N621" s="14"/>
      <c r="O621" s="14"/>
      <c r="P621" s="14"/>
      <c r="Q621" s="14"/>
    </row>
    <row r="622" spans="1:17" s="25" customFormat="1" ht="39" x14ac:dyDescent="0.25">
      <c r="A622" s="8"/>
      <c r="B622" s="8"/>
      <c r="C622" s="262">
        <v>2</v>
      </c>
      <c r="D622" s="147" t="s">
        <v>856</v>
      </c>
      <c r="E622" s="149"/>
      <c r="G622" s="155"/>
      <c r="H622" s="4"/>
      <c r="M622" s="14"/>
      <c r="N622" s="14"/>
      <c r="O622" s="14"/>
      <c r="P622" s="14"/>
      <c r="Q622" s="14"/>
    </row>
    <row r="623" spans="1:17" s="25" customFormat="1" ht="51.75" x14ac:dyDescent="0.25">
      <c r="A623" s="8"/>
      <c r="B623" s="8"/>
      <c r="C623" s="262">
        <v>3</v>
      </c>
      <c r="D623" s="147" t="s">
        <v>857</v>
      </c>
      <c r="E623" s="149"/>
      <c r="G623" s="155"/>
      <c r="H623" s="4"/>
      <c r="M623" s="14"/>
      <c r="N623" s="14"/>
      <c r="O623" s="14"/>
      <c r="P623" s="14"/>
      <c r="Q623" s="14"/>
    </row>
    <row r="624" spans="1:17" s="25" customFormat="1" ht="39" x14ac:dyDescent="0.25">
      <c r="A624" s="8"/>
      <c r="B624" s="8"/>
      <c r="C624" s="262">
        <v>4</v>
      </c>
      <c r="D624" s="147" t="s">
        <v>858</v>
      </c>
      <c r="E624" s="149"/>
      <c r="G624" s="155"/>
      <c r="H624" s="4"/>
      <c r="M624" s="14"/>
      <c r="N624" s="14"/>
      <c r="O624" s="14"/>
      <c r="P624" s="14"/>
      <c r="Q624" s="14"/>
    </row>
    <row r="625" spans="1:17" ht="15.75" thickBot="1" x14ac:dyDescent="0.3">
      <c r="A625" s="8"/>
      <c r="B625" s="8"/>
      <c r="C625" s="508" t="s">
        <v>311</v>
      </c>
      <c r="D625" s="509"/>
      <c r="E625" s="144">
        <f>IF(E619&lt;0, "Salah Isi", IF(E619&lt;=4, E619, "Salah Isi"))</f>
        <v>3</v>
      </c>
      <c r="G625" s="155"/>
    </row>
    <row r="626" spans="1:17" ht="15.75" thickBot="1" x14ac:dyDescent="0.3">
      <c r="A626" s="8"/>
      <c r="B626" s="8"/>
      <c r="C626" s="138"/>
      <c r="D626" s="138"/>
      <c r="G626" s="155"/>
    </row>
    <row r="627" spans="1:17" ht="15.75" thickBot="1" x14ac:dyDescent="0.3">
      <c r="A627" s="8">
        <v>91</v>
      </c>
      <c r="B627" s="8" t="s">
        <v>161</v>
      </c>
      <c r="C627" s="170" t="s">
        <v>551</v>
      </c>
      <c r="D627" s="206"/>
      <c r="E627" s="142">
        <v>1</v>
      </c>
      <c r="G627" s="152" t="str">
        <f>C627</f>
        <v>Sistem informasi dan fasilitas yang digunakan PS dalam PBM.</v>
      </c>
    </row>
    <row r="628" spans="1:17" s="25" customFormat="1" ht="39" x14ac:dyDescent="0.25">
      <c r="A628" s="8"/>
      <c r="B628" s="8"/>
      <c r="C628" s="171">
        <v>1</v>
      </c>
      <c r="D628" s="147" t="s">
        <v>859</v>
      </c>
      <c r="E628" s="149"/>
      <c r="G628" s="155"/>
      <c r="H628" s="4"/>
      <c r="M628" s="14"/>
      <c r="N628" s="14"/>
      <c r="O628" s="14"/>
      <c r="P628" s="14"/>
      <c r="Q628" s="14"/>
    </row>
    <row r="629" spans="1:17" s="25" customFormat="1" ht="51.75" x14ac:dyDescent="0.25">
      <c r="A629" s="8"/>
      <c r="B629" s="8"/>
      <c r="C629" s="171">
        <v>2</v>
      </c>
      <c r="D629" s="147" t="s">
        <v>860</v>
      </c>
      <c r="E629" s="149"/>
      <c r="G629" s="155"/>
      <c r="H629" s="4"/>
      <c r="M629" s="14"/>
      <c r="N629" s="14"/>
      <c r="O629" s="14"/>
      <c r="P629" s="14"/>
      <c r="Q629" s="14"/>
    </row>
    <row r="630" spans="1:17" s="25" customFormat="1" ht="77.25" x14ac:dyDescent="0.25">
      <c r="A630" s="8"/>
      <c r="B630" s="8"/>
      <c r="C630" s="171">
        <v>3</v>
      </c>
      <c r="D630" s="147" t="s">
        <v>861</v>
      </c>
      <c r="E630" s="149"/>
      <c r="G630" s="155"/>
      <c r="H630" s="4"/>
      <c r="M630" s="14"/>
      <c r="N630" s="14"/>
      <c r="O630" s="14"/>
      <c r="P630" s="14"/>
      <c r="Q630" s="14"/>
    </row>
    <row r="631" spans="1:17" s="25" customFormat="1" ht="51.75" x14ac:dyDescent="0.25">
      <c r="A631" s="8"/>
      <c r="B631" s="8"/>
      <c r="C631" s="171">
        <v>4</v>
      </c>
      <c r="D631" s="147" t="s">
        <v>862</v>
      </c>
      <c r="E631" s="149"/>
      <c r="G631" s="155"/>
      <c r="H631" s="4"/>
      <c r="M631" s="14"/>
      <c r="N631" s="14"/>
      <c r="O631" s="14"/>
      <c r="P631" s="14"/>
      <c r="Q631" s="14"/>
    </row>
    <row r="632" spans="1:17" ht="15.75" thickBot="1" x14ac:dyDescent="0.3">
      <c r="A632" s="8"/>
      <c r="B632" s="8"/>
      <c r="C632" s="508" t="s">
        <v>311</v>
      </c>
      <c r="D632" s="509"/>
      <c r="E632" s="144">
        <f>IF(E627&lt;0, "Salah Isi", IF((E603+E607+E615+E621+E624)/5 &gt;= 3, 4, IF(E627&lt;1, 1, IF(E627&lt;=4, E627, "Salah Isi"))))</f>
        <v>1</v>
      </c>
      <c r="G632" s="155"/>
    </row>
    <row r="633" spans="1:17" ht="15.75" thickBot="1" x14ac:dyDescent="0.3">
      <c r="A633" s="8"/>
      <c r="B633" s="8"/>
      <c r="C633" s="138"/>
      <c r="D633" s="138"/>
      <c r="G633" s="155"/>
    </row>
    <row r="634" spans="1:17" s="25" customFormat="1" ht="15.75" thickBot="1" x14ac:dyDescent="0.3">
      <c r="A634" s="126">
        <v>92</v>
      </c>
      <c r="B634" s="126" t="s">
        <v>162</v>
      </c>
      <c r="C634" s="160" t="s">
        <v>863</v>
      </c>
      <c r="D634" s="206"/>
      <c r="E634" s="167"/>
      <c r="G634" s="152" t="str">
        <f>"Persentase jenis data yang dikelola manual ="&amp;TEXT(E635/11,"0,00%")&amp;", dengan komputer tak terhubung jaringan = "&amp;TEXT(E636/11,"0,00%")&amp;", dengan komputer terhubung jaringan lokal = "&amp;TEXT(E637/11,"0,00%")&amp;", dan dengan komputer terhubung jaringan luas (internet) = "&amp;TEXT(E638/11,"0,00%")&amp;"."</f>
        <v>Persentase jenis data yang dikelola manual =100%, dengan komputer tak terhubung jaringan = 000%, dengan komputer terhubung jaringan lokal = 000%, dan dengan komputer terhubung jaringan luas (internet) = 000%.</v>
      </c>
      <c r="H634" s="4"/>
      <c r="M634" s="14"/>
      <c r="N634" s="14"/>
      <c r="O634" s="14"/>
      <c r="P634" s="14"/>
      <c r="Q634" s="14"/>
    </row>
    <row r="635" spans="1:17" x14ac:dyDescent="0.25">
      <c r="C635" s="188" t="s">
        <v>701</v>
      </c>
      <c r="D635" s="189"/>
      <c r="E635" s="163">
        <v>11</v>
      </c>
      <c r="F635" s="77"/>
      <c r="G635" s="155"/>
    </row>
    <row r="636" spans="1:17" x14ac:dyDescent="0.25">
      <c r="A636" s="126"/>
      <c r="B636" s="126"/>
      <c r="C636" s="242" t="s">
        <v>454</v>
      </c>
      <c r="D636" s="189"/>
      <c r="E636" s="163">
        <v>0</v>
      </c>
      <c r="F636" s="77"/>
      <c r="G636" s="155"/>
    </row>
    <row r="637" spans="1:17" x14ac:dyDescent="0.25">
      <c r="A637" s="126"/>
      <c r="B637" s="126"/>
      <c r="C637" s="188" t="s">
        <v>702</v>
      </c>
      <c r="D637" s="189"/>
      <c r="E637" s="163">
        <v>0</v>
      </c>
      <c r="F637" s="77"/>
      <c r="G637" s="155"/>
    </row>
    <row r="638" spans="1:17" x14ac:dyDescent="0.25">
      <c r="A638" s="126"/>
      <c r="B638" s="126"/>
      <c r="C638" s="242" t="s">
        <v>455</v>
      </c>
      <c r="D638" s="189"/>
      <c r="E638" s="163">
        <v>0</v>
      </c>
      <c r="F638" s="77"/>
      <c r="G638" s="155"/>
    </row>
    <row r="639" spans="1:17" x14ac:dyDescent="0.25">
      <c r="A639" s="126"/>
      <c r="B639" s="126"/>
      <c r="C639" s="242" t="s">
        <v>450</v>
      </c>
      <c r="D639" s="189"/>
      <c r="E639" s="164">
        <f>IF(E635+E636+E637+E638&gt;11, "Salah Isi",(E635+2*E636+3*E637+4*E638)/11)</f>
        <v>1</v>
      </c>
      <c r="F639" s="77"/>
      <c r="G639" s="155"/>
    </row>
    <row r="640" spans="1:17" ht="15.75" thickBot="1" x14ac:dyDescent="0.3">
      <c r="A640" s="126"/>
      <c r="B640" s="126"/>
      <c r="C640" s="243" t="s">
        <v>311</v>
      </c>
      <c r="D640" s="224"/>
      <c r="E640" s="144">
        <f>E639</f>
        <v>1</v>
      </c>
      <c r="F640" s="77"/>
      <c r="G640" s="155"/>
    </row>
    <row r="641" spans="1:17" x14ac:dyDescent="0.25">
      <c r="A641" s="126"/>
      <c r="B641" s="126"/>
      <c r="C641" s="238" t="s">
        <v>703</v>
      </c>
      <c r="D641" s="219"/>
      <c r="E641" s="77"/>
      <c r="F641" s="77"/>
      <c r="G641" s="155"/>
    </row>
    <row r="642" spans="1:17" ht="15.75" thickBot="1" x14ac:dyDescent="0.3">
      <c r="A642" s="126"/>
      <c r="B642" s="126"/>
      <c r="C642" s="204"/>
      <c r="D642" s="204"/>
      <c r="E642" s="77"/>
      <c r="F642" s="77"/>
      <c r="G642" s="155"/>
    </row>
    <row r="643" spans="1:17" s="25" customFormat="1" ht="40.5" customHeight="1" thickBot="1" x14ac:dyDescent="0.3">
      <c r="A643" s="126">
        <v>93</v>
      </c>
      <c r="B643" s="126" t="s">
        <v>164</v>
      </c>
      <c r="C643" s="500" t="s">
        <v>864</v>
      </c>
      <c r="D643" s="501"/>
      <c r="E643" s="162"/>
      <c r="F643" s="77"/>
      <c r="G643" s="152" t="str">
        <f>"Penelitian dosen dalam tiga tahun terakhir. "&amp;"Jumlah penelitian dengan biaya LN = "&amp;E644&amp;" judul, biaya luar PT = "&amp;E645&amp;" judul, biaya dari PT/sendiri = "&amp;E646&amp;" judul. "&amp;D647&amp;" = "&amp;E647&amp;" orang. "&amp;C648&amp;" = "&amp;TEXT(E648,"0,00")</f>
        <v>Penelitian dosen dalam tiga tahun terakhir. Jumlah penelitian dengan biaya LN = 0 judul, biaya luar PT = 0 judul, biaya dari PT/sendiri = 2 judul. Jumlah dosen tetap dengan bidang sesuai PS = 6 orang. Nilai Kasar (NK) = 000</v>
      </c>
      <c r="H643" s="4"/>
      <c r="M643" s="14"/>
      <c r="N643" s="14"/>
      <c r="O643" s="14"/>
      <c r="P643" s="14"/>
      <c r="Q643" s="14"/>
    </row>
    <row r="644" spans="1:17" x14ac:dyDescent="0.25">
      <c r="C644" s="253" t="s">
        <v>330</v>
      </c>
      <c r="D644" s="254" t="s">
        <v>456</v>
      </c>
      <c r="E644" s="163">
        <v>0</v>
      </c>
      <c r="F644" s="77"/>
      <c r="G644" s="155"/>
    </row>
    <row r="645" spans="1:17" x14ac:dyDescent="0.25">
      <c r="A645" s="126"/>
      <c r="B645" s="126"/>
      <c r="C645" s="253" t="s">
        <v>331</v>
      </c>
      <c r="D645" s="254" t="s">
        <v>457</v>
      </c>
      <c r="E645" s="163">
        <v>0</v>
      </c>
      <c r="F645" s="77"/>
      <c r="G645" s="155"/>
    </row>
    <row r="646" spans="1:17" x14ac:dyDescent="0.25">
      <c r="A646" s="126"/>
      <c r="B646" s="126"/>
      <c r="C646" s="253" t="s">
        <v>332</v>
      </c>
      <c r="D646" s="254" t="s">
        <v>458</v>
      </c>
      <c r="E646" s="163">
        <v>2</v>
      </c>
      <c r="F646" s="77"/>
      <c r="G646" s="155"/>
    </row>
    <row r="647" spans="1:17" x14ac:dyDescent="0.25">
      <c r="A647" s="126"/>
      <c r="B647" s="126"/>
      <c r="C647" s="253" t="s">
        <v>312</v>
      </c>
      <c r="D647" s="254" t="s">
        <v>459</v>
      </c>
      <c r="E647" s="163">
        <v>6</v>
      </c>
      <c r="F647" s="77"/>
      <c r="G647" s="155"/>
    </row>
    <row r="648" spans="1:17" x14ac:dyDescent="0.25">
      <c r="A648" s="126"/>
      <c r="B648" s="126"/>
      <c r="C648" s="253" t="s">
        <v>333</v>
      </c>
      <c r="D648" s="254"/>
      <c r="E648" s="164">
        <f>((4*E644)+(2*E645)+(E646))/E647</f>
        <v>0.33333333333333331</v>
      </c>
      <c r="F648" s="77"/>
      <c r="G648" s="155"/>
    </row>
    <row r="649" spans="1:17" ht="15.75" thickBot="1" x14ac:dyDescent="0.3">
      <c r="A649" s="126"/>
      <c r="B649" s="126"/>
      <c r="C649" s="249" t="s">
        <v>311</v>
      </c>
      <c r="D649" s="250"/>
      <c r="E649" s="144">
        <f>IF(E648=0,0,IF(E648&lt;2,1.5*E648+1,4))</f>
        <v>1.5</v>
      </c>
      <c r="F649" s="77"/>
      <c r="G649" s="155"/>
    </row>
    <row r="650" spans="1:17" ht="15.75" thickBot="1" x14ac:dyDescent="0.3">
      <c r="A650" s="126"/>
      <c r="B650" s="126"/>
      <c r="C650" s="204"/>
      <c r="D650" s="204"/>
      <c r="E650" s="126"/>
      <c r="F650" s="77"/>
      <c r="G650" s="155"/>
    </row>
    <row r="651" spans="1:17" s="25" customFormat="1" ht="15.75" thickBot="1" x14ac:dyDescent="0.3">
      <c r="A651" s="126">
        <v>94</v>
      </c>
      <c r="B651" s="126" t="s">
        <v>166</v>
      </c>
      <c r="C651" s="269" t="s">
        <v>865</v>
      </c>
      <c r="D651" s="264"/>
      <c r="E651" s="267"/>
      <c r="F651" s="77"/>
      <c r="G651" s="152" t="str">
        <f>C652&amp;" = " &amp;E652&amp;" orang. "&amp;"Persentase mahasiswa  tugas akhir yang terlibat dalam penelitian dosen = ("&amp;E653&amp;"/"&amp;E652&amp;") x 100% = "&amp;TEXT(E654,"0,00%"&amp;".")</f>
        <v>Jumlah mahasiswa yang melakukan tugas akhir (TA) = 10 orang. Persentase mahasiswa  tugas akhir yang terlibat dalam penelitian dosen = (0/10) x 100% = 000%.</v>
      </c>
      <c r="H651" s="4"/>
      <c r="M651" s="14"/>
      <c r="N651" s="14"/>
      <c r="O651" s="14"/>
      <c r="P651" s="14"/>
      <c r="Q651" s="14"/>
    </row>
    <row r="652" spans="1:17" x14ac:dyDescent="0.25">
      <c r="C652" s="242" t="s">
        <v>461</v>
      </c>
      <c r="D652" s="189"/>
      <c r="E652" s="163">
        <v>10</v>
      </c>
      <c r="F652" s="77"/>
      <c r="G652" s="155"/>
    </row>
    <row r="653" spans="1:17" x14ac:dyDescent="0.25">
      <c r="A653" s="126"/>
      <c r="B653" s="126"/>
      <c r="C653" s="242" t="s">
        <v>460</v>
      </c>
      <c r="D653" s="189"/>
      <c r="E653" s="163">
        <v>0</v>
      </c>
      <c r="F653" s="77"/>
      <c r="G653" s="155"/>
    </row>
    <row r="654" spans="1:17" x14ac:dyDescent="0.25">
      <c r="A654" s="126"/>
      <c r="B654" s="126"/>
      <c r="C654" s="242" t="s">
        <v>462</v>
      </c>
      <c r="D654" s="189" t="s">
        <v>463</v>
      </c>
      <c r="E654" s="164">
        <f>E653/E652</f>
        <v>0</v>
      </c>
      <c r="F654" s="77"/>
      <c r="G654" s="155"/>
    </row>
    <row r="655" spans="1:17" ht="15.75" thickBot="1" x14ac:dyDescent="0.3">
      <c r="A655" s="126"/>
      <c r="B655" s="126"/>
      <c r="C655" s="243" t="s">
        <v>311</v>
      </c>
      <c r="D655" s="224"/>
      <c r="E655" s="144">
        <f>IF(E654=0,0,IF(E654&lt;25%,1+12*E654,4))</f>
        <v>0</v>
      </c>
      <c r="F655" s="77"/>
      <c r="G655" s="155"/>
    </row>
    <row r="656" spans="1:17" ht="15.75" thickBot="1" x14ac:dyDescent="0.3">
      <c r="A656" s="126"/>
      <c r="B656" s="126"/>
      <c r="C656" s="204"/>
      <c r="D656" s="204"/>
      <c r="E656" s="126"/>
      <c r="F656" s="77"/>
      <c r="G656" s="155"/>
    </row>
    <row r="657" spans="1:17" s="25" customFormat="1" ht="28.5" customHeight="1" thickBot="1" x14ac:dyDescent="0.3">
      <c r="A657" s="126">
        <v>95</v>
      </c>
      <c r="B657" s="126" t="s">
        <v>168</v>
      </c>
      <c r="C657" s="500" t="s">
        <v>866</v>
      </c>
      <c r="D657" s="501"/>
      <c r="E657" s="162"/>
      <c r="F657" s="77"/>
      <c r="G657" s="152" t="str">
        <f>"Jumlah artikel ilmiah yang dihasilkan dosen tetap yang sesuai bidang selama tiga tahun. "&amp;"Jumlah dosen yang terlibat dalam penulisan artikel internasional = "&amp;E658&amp;" orang, "&amp;" nasional = "&amp;E659&amp;" orang, dan bersifat lokal = "&amp;E660&amp;" orang. "&amp;D661&amp;" = "&amp;E661&amp;" orang. "&amp;C662&amp;" = "&amp;TEXT(E662,"0,00")&amp;"."</f>
        <v>Jumlah artikel ilmiah yang dihasilkan dosen tetap yang sesuai bidang selama tiga tahun. Jumlah dosen yang terlibat dalam penulisan artikel internasional = 0 orang,  nasional = 0 orang, dan bersifat lokal = 12 orang. Jumlah dosen tetap dengan bidang sesuai PS = 6 orang. Nilai Kasar (NK) = 002.</v>
      </c>
      <c r="H657" s="4"/>
      <c r="M657" s="14"/>
      <c r="N657" s="14"/>
      <c r="O657" s="14"/>
      <c r="P657" s="14"/>
      <c r="Q657" s="14"/>
    </row>
    <row r="658" spans="1:17" x14ac:dyDescent="0.25">
      <c r="C658" s="202" t="s">
        <v>330</v>
      </c>
      <c r="D658" s="254"/>
      <c r="E658" s="163">
        <v>0</v>
      </c>
      <c r="F658" s="77"/>
      <c r="G658" s="155"/>
    </row>
    <row r="659" spans="1:17" x14ac:dyDescent="0.25">
      <c r="A659" s="126"/>
      <c r="B659" s="126"/>
      <c r="C659" s="202" t="s">
        <v>331</v>
      </c>
      <c r="D659" s="254"/>
      <c r="E659" s="163">
        <v>0</v>
      </c>
      <c r="F659" s="77"/>
      <c r="G659" s="155"/>
    </row>
    <row r="660" spans="1:17" x14ac:dyDescent="0.25">
      <c r="A660" s="126"/>
      <c r="B660" s="126"/>
      <c r="C660" s="202" t="s">
        <v>332</v>
      </c>
      <c r="D660" s="239"/>
      <c r="E660" s="163">
        <v>12</v>
      </c>
      <c r="F660" s="77"/>
      <c r="G660" s="155"/>
    </row>
    <row r="661" spans="1:17" x14ac:dyDescent="0.25">
      <c r="A661" s="126"/>
      <c r="B661" s="126"/>
      <c r="C661" s="202" t="s">
        <v>312</v>
      </c>
      <c r="D661" s="254" t="s">
        <v>459</v>
      </c>
      <c r="E661" s="163">
        <v>6</v>
      </c>
      <c r="F661" s="77"/>
      <c r="G661" s="155"/>
    </row>
    <row r="662" spans="1:17" x14ac:dyDescent="0.25">
      <c r="A662" s="126"/>
      <c r="B662" s="126"/>
      <c r="C662" s="253" t="s">
        <v>333</v>
      </c>
      <c r="D662" s="254"/>
      <c r="E662" s="164">
        <f>((4*E658)+(2*E659)+(E660))/E661</f>
        <v>2</v>
      </c>
      <c r="F662" s="77"/>
      <c r="G662" s="155"/>
    </row>
    <row r="663" spans="1:17" ht="15.75" thickBot="1" x14ac:dyDescent="0.3">
      <c r="A663" s="126"/>
      <c r="B663" s="126"/>
      <c r="C663" s="249" t="s">
        <v>311</v>
      </c>
      <c r="D663" s="250"/>
      <c r="E663" s="144">
        <f>IF(E662=0,0,IF(E662&lt;6,1+E662/2,4))</f>
        <v>2</v>
      </c>
      <c r="F663" s="77"/>
      <c r="G663" s="155"/>
    </row>
    <row r="664" spans="1:17" ht="15.75" thickBot="1" x14ac:dyDescent="0.3">
      <c r="A664" s="8"/>
      <c r="B664" s="8"/>
      <c r="C664" s="138"/>
      <c r="D664" s="138"/>
      <c r="G664" s="155"/>
    </row>
    <row r="665" spans="1:17" ht="15.75" thickBot="1" x14ac:dyDescent="0.3">
      <c r="A665" s="8">
        <v>96</v>
      </c>
      <c r="B665" s="8" t="s">
        <v>170</v>
      </c>
      <c r="C665" s="160" t="s">
        <v>1021</v>
      </c>
      <c r="D665" s="206"/>
      <c r="E665" s="185"/>
      <c r="G665" s="152" t="str">
        <f>C665&amp;": "</f>
        <v xml:space="preserve">Karya PS/institusi memperoleh perlindungan HaKI dalam 3 tahun terakhir: </v>
      </c>
    </row>
    <row r="666" spans="1:17" x14ac:dyDescent="0.25">
      <c r="A666" s="126"/>
      <c r="B666" s="126"/>
      <c r="C666" s="188" t="s">
        <v>869</v>
      </c>
      <c r="D666" s="189"/>
      <c r="E666" s="163">
        <v>0</v>
      </c>
      <c r="F666" s="77"/>
      <c r="G666" s="155"/>
    </row>
    <row r="667" spans="1:17" s="25" customFormat="1" x14ac:dyDescent="0.25">
      <c r="A667" s="126"/>
      <c r="B667" s="126"/>
      <c r="C667" s="202">
        <v>2</v>
      </c>
      <c r="D667" s="123" t="s">
        <v>867</v>
      </c>
      <c r="E667" s="149"/>
      <c r="F667" s="77"/>
      <c r="G667" s="155"/>
      <c r="H667" s="4"/>
      <c r="M667" s="14"/>
      <c r="N667" s="14"/>
      <c r="O667" s="14"/>
      <c r="P667" s="14"/>
      <c r="Q667" s="14"/>
    </row>
    <row r="668" spans="1:17" s="25" customFormat="1" x14ac:dyDescent="0.25">
      <c r="A668" s="126"/>
      <c r="B668" s="126"/>
      <c r="C668" s="202">
        <v>3</v>
      </c>
      <c r="D668" s="123" t="s">
        <v>868</v>
      </c>
      <c r="E668" s="149"/>
      <c r="F668" s="77"/>
      <c r="G668" s="155"/>
      <c r="H668" s="4"/>
      <c r="M668" s="14"/>
      <c r="N668" s="14"/>
      <c r="O668" s="14"/>
      <c r="P668" s="14"/>
      <c r="Q668" s="14"/>
    </row>
    <row r="669" spans="1:17" s="25" customFormat="1" x14ac:dyDescent="0.25">
      <c r="A669" s="126"/>
      <c r="B669" s="126"/>
      <c r="C669" s="202">
        <v>4</v>
      </c>
      <c r="D669" s="123" t="s">
        <v>870</v>
      </c>
      <c r="E669" s="149"/>
      <c r="F669" s="77"/>
      <c r="G669" s="155"/>
      <c r="H669" s="4"/>
      <c r="M669" s="14"/>
      <c r="N669" s="14"/>
      <c r="O669" s="14"/>
      <c r="P669" s="14"/>
      <c r="Q669" s="14"/>
    </row>
    <row r="670" spans="1:17" ht="15.75" thickBot="1" x14ac:dyDescent="0.3">
      <c r="A670" s="8"/>
      <c r="B670" s="8"/>
      <c r="C670" s="243" t="s">
        <v>311</v>
      </c>
      <c r="D670" s="210"/>
      <c r="E670" s="165">
        <f>IF(E666&lt;0, "Salah Isi", IF(E666&lt;2, 2, IF(E666&lt;=4, E666, 4)))</f>
        <v>2</v>
      </c>
      <c r="G670" s="155"/>
    </row>
    <row r="671" spans="1:17" ht="15.75" thickBot="1" x14ac:dyDescent="0.3">
      <c r="A671" s="8"/>
      <c r="B671" s="8"/>
      <c r="C671" s="138"/>
      <c r="D671" s="138"/>
      <c r="G671" s="155"/>
    </row>
    <row r="672" spans="1:17" s="25" customFormat="1" ht="39.75" customHeight="1" thickBot="1" x14ac:dyDescent="0.3">
      <c r="A672" s="126">
        <v>97</v>
      </c>
      <c r="B672" s="126" t="s">
        <v>172</v>
      </c>
      <c r="C672" s="500" t="s">
        <v>871</v>
      </c>
      <c r="D672" s="501"/>
      <c r="E672" s="167"/>
      <c r="G672" s="152" t="str">
        <f>"Kegiatan PkM oleh dosen tetap yang bidang keahliannya sama dengan PS selama tiga tahun terakhir. "&amp;D673&amp;" = "&amp;E673&amp;" judul, dengan biaya luar PT = "&amp;E674&amp;" judul, dan dengan biaya PT/sendiri = "&amp;E675&amp;" judul. "&amp;D676&amp;" = "&amp;E676&amp;" orang. "&amp;C677&amp;" = "&amp;TEXT(E677,"0,00")&amp;"."</f>
        <v>Kegiatan PkM oleh dosen tetap yang bidang keahliannya sama dengan PS selama tiga tahun terakhir. Jumlah kegiatan PkM dengan biaya LN = 0 judul, dengan biaya luar PT = 0 judul, dan dengan biaya PT/sendiri = 4 judul. Jumlah dosen tetap dengan bidang sesuai PS = 6 orang. Nilai Kasar (NK) = 001.</v>
      </c>
      <c r="H672" s="4"/>
      <c r="M672" s="14"/>
      <c r="N672" s="14"/>
      <c r="O672" s="14"/>
      <c r="P672" s="14"/>
      <c r="Q672" s="14"/>
    </row>
    <row r="673" spans="1:17" x14ac:dyDescent="0.25">
      <c r="C673" s="202" t="s">
        <v>330</v>
      </c>
      <c r="D673" s="254" t="s">
        <v>465</v>
      </c>
      <c r="E673" s="163">
        <v>0</v>
      </c>
      <c r="F673" s="77"/>
      <c r="G673" s="155"/>
    </row>
    <row r="674" spans="1:17" x14ac:dyDescent="0.25">
      <c r="A674" s="126"/>
      <c r="B674" s="126"/>
      <c r="C674" s="202" t="s">
        <v>331</v>
      </c>
      <c r="D674" s="254" t="s">
        <v>466</v>
      </c>
      <c r="E674" s="163">
        <v>0</v>
      </c>
      <c r="F674" s="77"/>
      <c r="G674" s="155"/>
    </row>
    <row r="675" spans="1:17" x14ac:dyDescent="0.25">
      <c r="A675" s="126"/>
      <c r="B675" s="126"/>
      <c r="C675" s="202" t="s">
        <v>332</v>
      </c>
      <c r="D675" s="254" t="s">
        <v>467</v>
      </c>
      <c r="E675" s="163">
        <v>4</v>
      </c>
      <c r="F675" s="77"/>
      <c r="G675" s="155"/>
    </row>
    <row r="676" spans="1:17" x14ac:dyDescent="0.25">
      <c r="A676" s="126"/>
      <c r="B676" s="126"/>
      <c r="C676" s="202" t="s">
        <v>312</v>
      </c>
      <c r="D676" s="254" t="s">
        <v>459</v>
      </c>
      <c r="E676" s="163">
        <v>6</v>
      </c>
      <c r="F676" s="77"/>
      <c r="G676" s="155"/>
    </row>
    <row r="677" spans="1:17" x14ac:dyDescent="0.25">
      <c r="A677" s="126"/>
      <c r="B677" s="126"/>
      <c r="C677" s="253" t="s">
        <v>333</v>
      </c>
      <c r="D677" s="254"/>
      <c r="E677" s="164">
        <f>((4*E673)+(2*E674)+(E675))/E676</f>
        <v>0.66666666666666663</v>
      </c>
      <c r="F677" s="77"/>
      <c r="G677" s="155"/>
    </row>
    <row r="678" spans="1:17" ht="15.75" thickBot="1" x14ac:dyDescent="0.3">
      <c r="A678" s="126"/>
      <c r="B678" s="126"/>
      <c r="C678" s="249" t="s">
        <v>307</v>
      </c>
      <c r="D678" s="250"/>
      <c r="E678" s="144">
        <f>IF(E677=0,0,IF(E677&lt;1,3*E677+1,4))</f>
        <v>3</v>
      </c>
      <c r="F678" s="77"/>
      <c r="G678" s="155"/>
    </row>
    <row r="679" spans="1:17" ht="15.75" thickBot="1" x14ac:dyDescent="0.3">
      <c r="A679" s="8"/>
      <c r="B679" s="8"/>
      <c r="C679" s="138"/>
      <c r="D679" s="138"/>
      <c r="G679" s="155"/>
    </row>
    <row r="680" spans="1:17" ht="15.75" thickBot="1" x14ac:dyDescent="0.3">
      <c r="A680" s="8">
        <v>98</v>
      </c>
      <c r="B680" s="8" t="s">
        <v>174</v>
      </c>
      <c r="C680" s="160" t="s">
        <v>552</v>
      </c>
      <c r="D680" s="206"/>
      <c r="E680" s="142">
        <v>2</v>
      </c>
      <c r="G680" s="152" t="s">
        <v>1022</v>
      </c>
    </row>
    <row r="681" spans="1:17" s="25" customFormat="1" x14ac:dyDescent="0.25">
      <c r="A681" s="8"/>
      <c r="B681" s="8"/>
      <c r="C681" s="166">
        <v>0</v>
      </c>
      <c r="D681" s="147" t="s">
        <v>872</v>
      </c>
      <c r="E681" s="149"/>
      <c r="G681" s="155"/>
      <c r="H681" s="4"/>
      <c r="M681" s="14"/>
      <c r="N681" s="14"/>
      <c r="O681" s="14"/>
      <c r="P681" s="14"/>
      <c r="Q681" s="14"/>
    </row>
    <row r="682" spans="1:17" s="25" customFormat="1" x14ac:dyDescent="0.25">
      <c r="A682" s="8"/>
      <c r="B682" s="8"/>
      <c r="C682" s="166">
        <v>1</v>
      </c>
      <c r="D682" s="147" t="s">
        <v>873</v>
      </c>
      <c r="E682" s="149"/>
      <c r="G682" s="155"/>
      <c r="H682" s="4"/>
      <c r="M682" s="14"/>
      <c r="N682" s="14"/>
      <c r="O682" s="14"/>
      <c r="P682" s="14"/>
      <c r="Q682" s="14"/>
    </row>
    <row r="683" spans="1:17" s="25" customFormat="1" x14ac:dyDescent="0.25">
      <c r="A683" s="8"/>
      <c r="B683" s="8"/>
      <c r="C683" s="166">
        <v>2</v>
      </c>
      <c r="D683" s="147" t="s">
        <v>874</v>
      </c>
      <c r="E683" s="149"/>
      <c r="G683" s="155"/>
      <c r="H683" s="4"/>
      <c r="M683" s="14"/>
      <c r="N683" s="14"/>
      <c r="O683" s="14"/>
      <c r="P683" s="14"/>
      <c r="Q683" s="14"/>
    </row>
    <row r="684" spans="1:17" s="25" customFormat="1" ht="26.25" x14ac:dyDescent="0.25">
      <c r="A684" s="8"/>
      <c r="B684" s="8"/>
      <c r="C684" s="166">
        <v>3</v>
      </c>
      <c r="D684" s="147" t="s">
        <v>875</v>
      </c>
      <c r="E684" s="149"/>
      <c r="G684" s="155"/>
      <c r="H684" s="4"/>
      <c r="M684" s="14"/>
      <c r="N684" s="14"/>
      <c r="O684" s="14"/>
      <c r="P684" s="14"/>
      <c r="Q684" s="14"/>
    </row>
    <row r="685" spans="1:17" s="25" customFormat="1" x14ac:dyDescent="0.25">
      <c r="A685" s="8"/>
      <c r="B685" s="8"/>
      <c r="C685" s="166">
        <v>4</v>
      </c>
      <c r="D685" s="147" t="s">
        <v>876</v>
      </c>
      <c r="E685" s="149"/>
      <c r="G685" s="155"/>
      <c r="H685" s="4"/>
      <c r="M685" s="14"/>
      <c r="N685" s="14"/>
      <c r="O685" s="14"/>
      <c r="P685" s="14"/>
      <c r="Q685" s="14"/>
    </row>
    <row r="686" spans="1:17" ht="15.75" thickBot="1" x14ac:dyDescent="0.3">
      <c r="A686" s="8"/>
      <c r="B686" s="8"/>
      <c r="C686" s="508" t="s">
        <v>311</v>
      </c>
      <c r="D686" s="509"/>
      <c r="E686" s="144">
        <f>IF(E680&lt;0, "Salah Isi", IF(E680&lt;=4, E680, "Salah Isi"))</f>
        <v>2</v>
      </c>
      <c r="G686" s="155"/>
    </row>
    <row r="687" spans="1:17" ht="15.75" thickBot="1" x14ac:dyDescent="0.3">
      <c r="A687" s="8"/>
      <c r="B687" s="8"/>
      <c r="C687" s="138"/>
      <c r="D687" s="138"/>
      <c r="G687" s="155"/>
    </row>
    <row r="688" spans="1:17" ht="15.75" thickBot="1" x14ac:dyDescent="0.3">
      <c r="A688" s="8">
        <v>99</v>
      </c>
      <c r="B688" s="8" t="s">
        <v>176</v>
      </c>
      <c r="C688" s="160" t="s">
        <v>553</v>
      </c>
      <c r="D688" s="206"/>
      <c r="E688" s="142">
        <v>0</v>
      </c>
      <c r="G688" s="152" t="str">
        <f>C688</f>
        <v>Kegiatan kerjasama dengan instansi di DN dalam tiga tahun terakhir.</v>
      </c>
    </row>
    <row r="689" spans="1:17" s="25" customFormat="1" x14ac:dyDescent="0.25">
      <c r="A689" s="8"/>
      <c r="B689" s="8"/>
      <c r="C689" s="166">
        <v>1</v>
      </c>
      <c r="D689" s="147" t="s">
        <v>877</v>
      </c>
      <c r="E689" s="149"/>
      <c r="G689" s="155"/>
      <c r="H689" s="4"/>
      <c r="M689" s="14"/>
      <c r="N689" s="14"/>
      <c r="O689" s="14"/>
      <c r="P689" s="14"/>
      <c r="Q689" s="14"/>
    </row>
    <row r="690" spans="1:17" s="25" customFormat="1" ht="39" x14ac:dyDescent="0.25">
      <c r="A690" s="8"/>
      <c r="B690" s="8"/>
      <c r="C690" s="166">
        <v>2</v>
      </c>
      <c r="D690" s="147" t="s">
        <v>878</v>
      </c>
      <c r="E690" s="149"/>
      <c r="G690" s="155"/>
      <c r="H690" s="4"/>
      <c r="M690" s="14"/>
      <c r="N690" s="14"/>
      <c r="O690" s="14"/>
      <c r="P690" s="14"/>
      <c r="Q690" s="14"/>
    </row>
    <row r="691" spans="1:17" s="25" customFormat="1" ht="39" x14ac:dyDescent="0.25">
      <c r="A691" s="8"/>
      <c r="B691" s="8"/>
      <c r="C691" s="166">
        <v>3</v>
      </c>
      <c r="D691" s="147" t="s">
        <v>879</v>
      </c>
      <c r="E691" s="149"/>
      <c r="G691" s="155"/>
      <c r="H691" s="4"/>
      <c r="M691" s="14"/>
      <c r="N691" s="14"/>
      <c r="O691" s="14"/>
      <c r="P691" s="14"/>
      <c r="Q691" s="14"/>
    </row>
    <row r="692" spans="1:17" s="25" customFormat="1" ht="39" x14ac:dyDescent="0.25">
      <c r="A692" s="8"/>
      <c r="B692" s="8"/>
      <c r="C692" s="166">
        <v>4</v>
      </c>
      <c r="D692" s="147" t="s">
        <v>880</v>
      </c>
      <c r="E692" s="149"/>
      <c r="G692" s="155"/>
      <c r="H692" s="4"/>
      <c r="M692" s="14"/>
      <c r="N692" s="14"/>
      <c r="O692" s="14"/>
      <c r="P692" s="14"/>
      <c r="Q692" s="14"/>
    </row>
    <row r="693" spans="1:17" ht="15.75" thickBot="1" x14ac:dyDescent="0.3">
      <c r="A693" s="8"/>
      <c r="B693" s="8"/>
      <c r="C693" s="508" t="s">
        <v>311</v>
      </c>
      <c r="D693" s="509"/>
      <c r="E693" s="144">
        <f>IF(E688&lt;0, "Salah Isi", IF(E688&lt;1, 1, IF(E688&lt;=4, E688, "Salah Isi")))</f>
        <v>1</v>
      </c>
      <c r="G693" s="155"/>
    </row>
    <row r="694" spans="1:17" ht="15.75" thickBot="1" x14ac:dyDescent="0.3">
      <c r="A694" s="8"/>
      <c r="B694" s="8"/>
      <c r="C694" s="138"/>
      <c r="D694" s="138"/>
      <c r="G694" s="155"/>
    </row>
    <row r="695" spans="1:17" ht="15.75" thickBot="1" x14ac:dyDescent="0.3">
      <c r="A695" s="8">
        <v>100</v>
      </c>
      <c r="B695" s="8" t="s">
        <v>178</v>
      </c>
      <c r="C695" s="160" t="s">
        <v>554</v>
      </c>
      <c r="D695" s="206"/>
      <c r="E695" s="146">
        <v>0</v>
      </c>
      <c r="G695" s="152" t="str">
        <f>C695</f>
        <v>Kegiatan kerjasama dengan instansi di LN dalam tiga tahun terakhir.</v>
      </c>
    </row>
    <row r="696" spans="1:17" s="25" customFormat="1" x14ac:dyDescent="0.25">
      <c r="A696" s="8"/>
      <c r="B696" s="8"/>
      <c r="C696" s="268">
        <v>1</v>
      </c>
      <c r="D696" s="147" t="s">
        <v>877</v>
      </c>
      <c r="E696" s="148"/>
      <c r="G696" s="155"/>
      <c r="H696" s="4"/>
      <c r="M696" s="14"/>
      <c r="N696" s="14"/>
      <c r="O696" s="14"/>
      <c r="P696" s="14"/>
      <c r="Q696" s="14"/>
    </row>
    <row r="697" spans="1:17" s="25" customFormat="1" ht="26.25" x14ac:dyDescent="0.25">
      <c r="A697" s="8"/>
      <c r="B697" s="8"/>
      <c r="C697" s="268">
        <v>2</v>
      </c>
      <c r="D697" s="147" t="s">
        <v>881</v>
      </c>
      <c r="E697" s="148"/>
      <c r="G697" s="155"/>
      <c r="H697" s="4"/>
      <c r="M697" s="14"/>
      <c r="N697" s="14"/>
      <c r="O697" s="14"/>
      <c r="P697" s="14"/>
      <c r="Q697" s="14"/>
    </row>
    <row r="698" spans="1:17" s="25" customFormat="1" ht="26.25" x14ac:dyDescent="0.25">
      <c r="A698" s="8"/>
      <c r="B698" s="8"/>
      <c r="C698" s="268">
        <v>3</v>
      </c>
      <c r="D698" s="147" t="s">
        <v>882</v>
      </c>
      <c r="E698" s="148"/>
      <c r="G698" s="155"/>
      <c r="H698" s="4"/>
      <c r="M698" s="14"/>
      <c r="N698" s="14"/>
      <c r="O698" s="14"/>
      <c r="P698" s="14"/>
      <c r="Q698" s="14"/>
    </row>
    <row r="699" spans="1:17" s="25" customFormat="1" ht="26.25" x14ac:dyDescent="0.25">
      <c r="A699" s="8"/>
      <c r="B699" s="8"/>
      <c r="C699" s="268">
        <v>4</v>
      </c>
      <c r="D699" s="147" t="s">
        <v>883</v>
      </c>
      <c r="E699" s="148"/>
      <c r="G699" s="155"/>
      <c r="H699" s="4"/>
      <c r="M699" s="14"/>
      <c r="N699" s="14"/>
      <c r="O699" s="14"/>
      <c r="P699" s="14"/>
      <c r="Q699" s="14"/>
    </row>
    <row r="700" spans="1:17" ht="15.75" thickBot="1" x14ac:dyDescent="0.3">
      <c r="A700" s="8"/>
      <c r="B700" s="8"/>
      <c r="C700" s="508" t="s">
        <v>311</v>
      </c>
      <c r="D700" s="509"/>
      <c r="E700" s="143">
        <f>IF(E695&lt;0, "Salah Isi", IF(E695&lt;1, 1, IF(E695&lt;=4, E695, "Salah Isi")))</f>
        <v>1</v>
      </c>
      <c r="G700" s="155"/>
    </row>
    <row r="713" spans="1:6" x14ac:dyDescent="0.25">
      <c r="A713" s="81"/>
      <c r="B713" s="81"/>
      <c r="C713" s="77"/>
      <c r="D713" s="77"/>
      <c r="E713" s="77"/>
      <c r="F713" s="77"/>
    </row>
    <row r="720" spans="1:6" x14ac:dyDescent="0.25">
      <c r="A720" s="81"/>
      <c r="B720" s="81"/>
      <c r="C720" s="77"/>
      <c r="D720" s="77"/>
      <c r="E720" s="77"/>
      <c r="F720" s="77"/>
    </row>
  </sheetData>
  <sheetProtection password="C5FE" sheet="1" objects="1" scenarios="1" selectLockedCells="1"/>
  <mergeCells count="154">
    <mergeCell ref="C283:D283"/>
    <mergeCell ref="C284:D284"/>
    <mergeCell ref="C570:D570"/>
    <mergeCell ref="C578:D578"/>
    <mergeCell ref="C398:D398"/>
    <mergeCell ref="C406:D406"/>
    <mergeCell ref="C419:D419"/>
    <mergeCell ref="C427:D427"/>
    <mergeCell ref="C536:D536"/>
    <mergeCell ref="C538:D538"/>
    <mergeCell ref="C553:D553"/>
    <mergeCell ref="C521:D521"/>
    <mergeCell ref="C452:D452"/>
    <mergeCell ref="C530:D530"/>
    <mergeCell ref="C408:D408"/>
    <mergeCell ref="C502:D502"/>
    <mergeCell ref="C400:D400"/>
    <mergeCell ref="C297:D297"/>
    <mergeCell ref="C528:D528"/>
    <mergeCell ref="C303:D303"/>
    <mergeCell ref="C441:D441"/>
    <mergeCell ref="C429:D429"/>
    <mergeCell ref="C509:D509"/>
    <mergeCell ref="C305:D305"/>
    <mergeCell ref="C290:D290"/>
    <mergeCell ref="C460:D460"/>
    <mergeCell ref="C476:D476"/>
    <mergeCell ref="C312:D312"/>
    <mergeCell ref="C443:D443"/>
    <mergeCell ref="C487:D487"/>
    <mergeCell ref="C495:D495"/>
    <mergeCell ref="C493:D493"/>
    <mergeCell ref="N214:O214"/>
    <mergeCell ref="C74:D74"/>
    <mergeCell ref="C75:D75"/>
    <mergeCell ref="C111:D111"/>
    <mergeCell ref="C129:D129"/>
    <mergeCell ref="C149:D149"/>
    <mergeCell ref="C81:D81"/>
    <mergeCell ref="C86:D86"/>
    <mergeCell ref="C87:D87"/>
    <mergeCell ref="C99:D99"/>
    <mergeCell ref="C83:D83"/>
    <mergeCell ref="C84:D84"/>
    <mergeCell ref="C85:D85"/>
    <mergeCell ref="C90:D90"/>
    <mergeCell ref="A1:E1"/>
    <mergeCell ref="A2:E2"/>
    <mergeCell ref="C3:D3"/>
    <mergeCell ref="N76:P76"/>
    <mergeCell ref="C45:D45"/>
    <mergeCell ref="C53:D53"/>
    <mergeCell ref="C61:D61"/>
    <mergeCell ref="C69:D69"/>
    <mergeCell ref="N213:O213"/>
    <mergeCell ref="C55:D55"/>
    <mergeCell ref="C9:D9"/>
    <mergeCell ref="C16:D16"/>
    <mergeCell ref="C23:D23"/>
    <mergeCell ref="C30:D30"/>
    <mergeCell ref="C139:D139"/>
    <mergeCell ref="C147:D147"/>
    <mergeCell ref="C106:D106"/>
    <mergeCell ref="C112:D112"/>
    <mergeCell ref="C114:D114"/>
    <mergeCell ref="C37:D37"/>
    <mergeCell ref="C118:D118"/>
    <mergeCell ref="C121:D121"/>
    <mergeCell ref="C119:D119"/>
    <mergeCell ref="C130:D130"/>
    <mergeCell ref="C131:D131"/>
    <mergeCell ref="C101:D101"/>
    <mergeCell ref="C80:D80"/>
    <mergeCell ref="C700:D700"/>
    <mergeCell ref="C617:D617"/>
    <mergeCell ref="C625:D625"/>
    <mergeCell ref="C632:D632"/>
    <mergeCell ref="C686:D686"/>
    <mergeCell ref="C693:D693"/>
    <mergeCell ref="C643:D643"/>
    <mergeCell ref="C657:D657"/>
    <mergeCell ref="C619:D619"/>
    <mergeCell ref="C609:D609"/>
    <mergeCell ref="C672:D672"/>
    <mergeCell ref="C4:D4"/>
    <mergeCell ref="C11:D11"/>
    <mergeCell ref="C18:D18"/>
    <mergeCell ref="C25:D25"/>
    <mergeCell ref="C63:D63"/>
    <mergeCell ref="C78:D78"/>
    <mergeCell ref="C77:D77"/>
    <mergeCell ref="C576:D576"/>
    <mergeCell ref="C523:D523"/>
    <mergeCell ref="C514:D514"/>
    <mergeCell ref="C91:D91"/>
    <mergeCell ref="C71:D71"/>
    <mergeCell ref="C158:D158"/>
    <mergeCell ref="C160:D160"/>
    <mergeCell ref="C161:D161"/>
    <mergeCell ref="C341:D341"/>
    <mergeCell ref="C349:D349"/>
    <mergeCell ref="C357:D357"/>
    <mergeCell ref="C254:D254"/>
    <mergeCell ref="C179:D179"/>
    <mergeCell ref="C365:D365"/>
    <mergeCell ref="C390:D390"/>
    <mergeCell ref="C262:D262"/>
    <mergeCell ref="C155:D155"/>
    <mergeCell ref="C273:D273"/>
    <mergeCell ref="C326:D326"/>
    <mergeCell ref="C606:D606"/>
    <mergeCell ref="C584:D584"/>
    <mergeCell ref="C600:D600"/>
    <mergeCell ref="C277:D277"/>
    <mergeCell ref="C279:D279"/>
    <mergeCell ref="C210:D210"/>
    <mergeCell ref="C157:D157"/>
    <mergeCell ref="C500:D500"/>
    <mergeCell ref="C282:D282"/>
    <mergeCell ref="C238:D238"/>
    <mergeCell ref="C239:D239"/>
    <mergeCell ref="C246:D246"/>
    <mergeCell ref="C218:D218"/>
    <mergeCell ref="C243:D243"/>
    <mergeCell ref="C240:D240"/>
    <mergeCell ref="C251:D251"/>
    <mergeCell ref="C203:D203"/>
    <mergeCell ref="C169:D169"/>
    <mergeCell ref="C507:D507"/>
    <mergeCell ref="C382:D382"/>
    <mergeCell ref="C263:D263"/>
    <mergeCell ref="C359:D359"/>
    <mergeCell ref="C367:D367"/>
    <mergeCell ref="C222:D222"/>
    <mergeCell ref="C256:D256"/>
    <mergeCell ref="C257:D257"/>
    <mergeCell ref="C271:D271"/>
    <mergeCell ref="C265:D265"/>
    <mergeCell ref="C154:D154"/>
    <mergeCell ref="C177:D177"/>
    <mergeCell ref="C185:D185"/>
    <mergeCell ref="C193:D193"/>
    <mergeCell ref="C201:D201"/>
    <mergeCell ref="C163:D163"/>
    <mergeCell ref="C171:D171"/>
    <mergeCell ref="C228:D228"/>
    <mergeCell ref="C216:D216"/>
    <mergeCell ref="C255:D255"/>
    <mergeCell ref="C336:D336"/>
    <mergeCell ref="C187:D187"/>
    <mergeCell ref="C195:D195"/>
    <mergeCell ref="C306:D306"/>
    <mergeCell ref="C212:D212"/>
    <mergeCell ref="C280:D28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topLeftCell="A19" workbookViewId="0">
      <selection activeCell="B23" sqref="B23"/>
    </sheetView>
  </sheetViews>
  <sheetFormatPr defaultRowHeight="15" x14ac:dyDescent="0.25"/>
  <cols>
    <col min="1" max="1" width="5.7109375" style="4" customWidth="1"/>
    <col min="2" max="2" width="22.42578125" style="17" customWidth="1"/>
    <col min="3" max="3" width="9.140625" style="8"/>
    <col min="4" max="4" width="9.140625" style="4"/>
    <col min="5" max="5" width="39" style="8" customWidth="1"/>
    <col min="7" max="7" width="14.28515625" style="8" customWidth="1"/>
  </cols>
  <sheetData>
    <row r="1" spans="1:7" ht="18" x14ac:dyDescent="0.25">
      <c r="A1" s="108" t="s">
        <v>198</v>
      </c>
      <c r="B1" s="98"/>
      <c r="C1" s="99"/>
      <c r="D1" s="97"/>
      <c r="E1" s="99"/>
      <c r="F1" s="94"/>
      <c r="G1" s="99"/>
    </row>
    <row r="2" spans="1:7" ht="15.75" x14ac:dyDescent="0.25">
      <c r="A2" s="109"/>
      <c r="B2" s="98"/>
      <c r="C2" s="99"/>
      <c r="D2" s="97"/>
      <c r="E2" s="99"/>
      <c r="F2" s="94"/>
      <c r="G2" s="99"/>
    </row>
    <row r="3" spans="1:7" ht="15.75" x14ac:dyDescent="0.25">
      <c r="A3" s="96" t="s">
        <v>183</v>
      </c>
      <c r="B3" s="98"/>
      <c r="C3" s="99"/>
      <c r="D3" s="97"/>
      <c r="E3" s="99"/>
      <c r="F3" s="94"/>
      <c r="G3" s="99"/>
    </row>
    <row r="4" spans="1:7" ht="15.75" x14ac:dyDescent="0.25">
      <c r="A4" s="100"/>
      <c r="B4" s="98"/>
      <c r="C4" s="99"/>
      <c r="D4" s="97"/>
      <c r="E4" s="99"/>
      <c r="F4" s="94"/>
      <c r="G4" s="99"/>
    </row>
    <row r="5" spans="1:7" ht="16.5" customHeight="1" x14ac:dyDescent="0.25">
      <c r="A5" s="463" t="s">
        <v>194</v>
      </c>
      <c r="B5" s="463"/>
      <c r="C5" s="461" t="str">
        <f>'F 1'!D5</f>
        <v>: Universitas X</v>
      </c>
      <c r="E5" s="99"/>
      <c r="F5" s="94"/>
      <c r="G5" s="99"/>
    </row>
    <row r="6" spans="1:7" ht="16.5" customHeight="1" x14ac:dyDescent="0.25">
      <c r="A6" s="463" t="s">
        <v>195</v>
      </c>
      <c r="B6" s="463"/>
      <c r="C6" s="461" t="str">
        <f>'F 1'!D6</f>
        <v>: FMIPA</v>
      </c>
      <c r="E6" s="99"/>
      <c r="F6" s="94"/>
      <c r="G6" s="99"/>
    </row>
    <row r="7" spans="1:7" ht="16.5" customHeight="1" x14ac:dyDescent="0.25">
      <c r="A7" s="463" t="s">
        <v>196</v>
      </c>
      <c r="B7" s="463"/>
      <c r="C7" s="461" t="str">
        <f>'F 1'!D7</f>
        <v>: Sistem Informasi</v>
      </c>
      <c r="E7" s="99"/>
      <c r="F7" s="94"/>
      <c r="G7" s="99"/>
    </row>
    <row r="8" spans="1:7" ht="16.5" customHeight="1" x14ac:dyDescent="0.25">
      <c r="A8" s="463" t="s">
        <v>197</v>
      </c>
      <c r="B8" s="463"/>
      <c r="C8" s="461" t="str">
        <f>'F 1'!D8</f>
        <v>: I G. P. Purnaba</v>
      </c>
      <c r="E8" s="99"/>
      <c r="F8" s="94"/>
      <c r="G8" s="99"/>
    </row>
    <row r="9" spans="1:7" ht="16.5" customHeight="1" x14ac:dyDescent="0.25">
      <c r="A9" s="463" t="s">
        <v>0</v>
      </c>
      <c r="B9" s="463"/>
      <c r="C9" s="461" t="str">
        <f>'F 1'!D9</f>
        <v>: 16 Juni 2010</v>
      </c>
      <c r="E9" s="99"/>
      <c r="F9" s="94"/>
      <c r="G9" s="99"/>
    </row>
    <row r="10" spans="1:7" ht="16.5" thickBot="1" x14ac:dyDescent="0.3">
      <c r="A10" s="100"/>
      <c r="B10" s="98"/>
      <c r="C10" s="99"/>
      <c r="D10" s="97"/>
      <c r="E10" s="99"/>
      <c r="F10" s="94"/>
      <c r="G10" s="99"/>
    </row>
    <row r="11" spans="1:7" ht="15" customHeight="1" x14ac:dyDescent="0.25">
      <c r="A11" s="570" t="s">
        <v>1</v>
      </c>
      <c r="B11" s="568" t="s">
        <v>3</v>
      </c>
      <c r="C11" s="572" t="s">
        <v>5</v>
      </c>
      <c r="D11" s="562" t="s">
        <v>311</v>
      </c>
      <c r="E11" s="560" t="s">
        <v>1079</v>
      </c>
      <c r="F11" s="94"/>
      <c r="G11" s="564" t="s">
        <v>340</v>
      </c>
    </row>
    <row r="12" spans="1:7" ht="22.5" customHeight="1" thickBot="1" x14ac:dyDescent="0.3">
      <c r="A12" s="571"/>
      <c r="B12" s="569"/>
      <c r="C12" s="573"/>
      <c r="D12" s="563"/>
      <c r="E12" s="561"/>
      <c r="F12" s="94"/>
      <c r="G12" s="565"/>
    </row>
    <row r="13" spans="1:7" ht="94.5" x14ac:dyDescent="0.25">
      <c r="A13" s="456">
        <v>1</v>
      </c>
      <c r="B13" s="457" t="s">
        <v>203</v>
      </c>
      <c r="C13" s="458"/>
      <c r="D13" s="459"/>
      <c r="E13" s="460"/>
      <c r="F13" s="94"/>
      <c r="G13" s="115"/>
    </row>
    <row r="14" spans="1:7" ht="126" x14ac:dyDescent="0.25">
      <c r="A14" s="451" t="s">
        <v>204</v>
      </c>
      <c r="B14" s="446" t="s">
        <v>205</v>
      </c>
      <c r="C14" s="447">
        <v>12.5</v>
      </c>
      <c r="D14" s="442">
        <v>2.5</v>
      </c>
      <c r="E14" s="448"/>
      <c r="F14" s="94"/>
      <c r="G14" s="115">
        <f>D14*C14</f>
        <v>31.25</v>
      </c>
    </row>
    <row r="15" spans="1:7" ht="140.25" customHeight="1" x14ac:dyDescent="0.25">
      <c r="A15" s="451" t="s">
        <v>206</v>
      </c>
      <c r="B15" s="446" t="s">
        <v>207</v>
      </c>
      <c r="C15" s="447">
        <v>12.5</v>
      </c>
      <c r="D15" s="442">
        <v>2</v>
      </c>
      <c r="E15" s="448"/>
      <c r="F15" s="94"/>
      <c r="G15" s="115">
        <f>D15*C15</f>
        <v>25</v>
      </c>
    </row>
    <row r="16" spans="1:7" ht="94.5" x14ac:dyDescent="0.25">
      <c r="A16" s="449">
        <v>2</v>
      </c>
      <c r="B16" s="443" t="s">
        <v>208</v>
      </c>
      <c r="C16" s="444"/>
      <c r="D16" s="445"/>
      <c r="E16" s="450"/>
      <c r="F16" s="94"/>
      <c r="G16" s="115"/>
    </row>
    <row r="17" spans="1:7" ht="48.75" customHeight="1" x14ac:dyDescent="0.25">
      <c r="A17" s="451" t="s">
        <v>204</v>
      </c>
      <c r="B17" s="446" t="s">
        <v>209</v>
      </c>
      <c r="C17" s="447">
        <v>7.5</v>
      </c>
      <c r="D17" s="442">
        <v>2.5</v>
      </c>
      <c r="E17" s="448"/>
      <c r="F17" s="94"/>
      <c r="G17" s="115">
        <f>D17*C17</f>
        <v>18.75</v>
      </c>
    </row>
    <row r="18" spans="1:7" ht="94.5" x14ac:dyDescent="0.25">
      <c r="A18" s="451" t="s">
        <v>206</v>
      </c>
      <c r="B18" s="446" t="s">
        <v>210</v>
      </c>
      <c r="C18" s="447">
        <v>7.5</v>
      </c>
      <c r="D18" s="442">
        <v>3</v>
      </c>
      <c r="E18" s="448"/>
      <c r="F18" s="94"/>
      <c r="G18" s="115">
        <f>D18*C18</f>
        <v>22.5</v>
      </c>
    </row>
    <row r="19" spans="1:7" ht="54.75" customHeight="1" x14ac:dyDescent="0.25">
      <c r="A19" s="451" t="s">
        <v>211</v>
      </c>
      <c r="B19" s="446" t="s">
        <v>212</v>
      </c>
      <c r="C19" s="447">
        <v>7.5</v>
      </c>
      <c r="D19" s="442">
        <v>3</v>
      </c>
      <c r="E19" s="448"/>
      <c r="F19" s="94"/>
      <c r="G19" s="115">
        <f>D19*C19</f>
        <v>22.5</v>
      </c>
    </row>
    <row r="20" spans="1:7" ht="110.25" x14ac:dyDescent="0.25">
      <c r="A20" s="451" t="s">
        <v>213</v>
      </c>
      <c r="B20" s="446" t="s">
        <v>214</v>
      </c>
      <c r="C20" s="447">
        <v>7.5</v>
      </c>
      <c r="D20" s="442">
        <v>3</v>
      </c>
      <c r="E20" s="448"/>
      <c r="F20" s="94"/>
      <c r="G20" s="115">
        <f>D20*C20</f>
        <v>22.5</v>
      </c>
    </row>
    <row r="21" spans="1:7" ht="43.5" customHeight="1" x14ac:dyDescent="0.25">
      <c r="A21" s="449">
        <v>3</v>
      </c>
      <c r="B21" s="443" t="s">
        <v>215</v>
      </c>
      <c r="C21" s="444"/>
      <c r="D21" s="445"/>
      <c r="E21" s="450"/>
      <c r="F21" s="94"/>
      <c r="G21" s="115"/>
    </row>
    <row r="22" spans="1:7" ht="63" x14ac:dyDescent="0.25">
      <c r="A22" s="451" t="s">
        <v>204</v>
      </c>
      <c r="B22" s="446" t="s">
        <v>216</v>
      </c>
      <c r="C22" s="447">
        <v>10</v>
      </c>
      <c r="D22" s="442">
        <v>3</v>
      </c>
      <c r="E22" s="448"/>
      <c r="F22" s="94"/>
      <c r="G22" s="115">
        <f>D22*C22</f>
        <v>30</v>
      </c>
    </row>
    <row r="23" spans="1:7" ht="63" x14ac:dyDescent="0.25">
      <c r="A23" s="451" t="s">
        <v>206</v>
      </c>
      <c r="B23" s="446" t="s">
        <v>217</v>
      </c>
      <c r="C23" s="447">
        <v>5</v>
      </c>
      <c r="D23" s="442">
        <v>2.5</v>
      </c>
      <c r="E23" s="448"/>
      <c r="F23" s="94"/>
      <c r="G23" s="115">
        <f>D23*C23</f>
        <v>12.5</v>
      </c>
    </row>
    <row r="24" spans="1:7" ht="66.75" customHeight="1" x14ac:dyDescent="0.25">
      <c r="A24" s="451" t="s">
        <v>211</v>
      </c>
      <c r="B24" s="446" t="s">
        <v>218</v>
      </c>
      <c r="C24" s="447">
        <v>5</v>
      </c>
      <c r="D24" s="442">
        <v>2.5</v>
      </c>
      <c r="E24" s="448"/>
      <c r="F24" s="94"/>
      <c r="G24" s="115">
        <f>D24*C24</f>
        <v>12.5</v>
      </c>
    </row>
    <row r="25" spans="1:7" ht="53.25" customHeight="1" x14ac:dyDescent="0.25">
      <c r="A25" s="449">
        <v>4</v>
      </c>
      <c r="B25" s="443" t="s">
        <v>219</v>
      </c>
      <c r="C25" s="444"/>
      <c r="D25" s="445"/>
      <c r="E25" s="450"/>
      <c r="F25" s="94"/>
      <c r="G25" s="115"/>
    </row>
    <row r="26" spans="1:7" ht="39" customHeight="1" x14ac:dyDescent="0.25">
      <c r="A26" s="451" t="s">
        <v>204</v>
      </c>
      <c r="B26" s="446" t="s">
        <v>220</v>
      </c>
      <c r="C26" s="447">
        <v>12.5</v>
      </c>
      <c r="D26" s="442">
        <v>3</v>
      </c>
      <c r="E26" s="448"/>
      <c r="F26" s="94"/>
      <c r="G26" s="115">
        <f>D26*C26</f>
        <v>37.5</v>
      </c>
    </row>
    <row r="27" spans="1:7" ht="54.75" customHeight="1" x14ac:dyDescent="0.25">
      <c r="A27" s="451" t="s">
        <v>206</v>
      </c>
      <c r="B27" s="446" t="s">
        <v>221</v>
      </c>
      <c r="C27" s="447">
        <v>12.5</v>
      </c>
      <c r="D27" s="442">
        <v>3</v>
      </c>
      <c r="E27" s="448"/>
      <c r="F27" s="94"/>
      <c r="G27" s="115">
        <f>D27*C27</f>
        <v>37.5</v>
      </c>
    </row>
    <row r="28" spans="1:7" ht="48" thickBot="1" x14ac:dyDescent="0.3">
      <c r="A28" s="452" t="s">
        <v>222</v>
      </c>
      <c r="B28" s="453"/>
      <c r="C28" s="454">
        <f>SUM(C14:C27)</f>
        <v>100</v>
      </c>
      <c r="D28" s="454">
        <f>SUM(D14:D27)</f>
        <v>30</v>
      </c>
      <c r="E28" s="455"/>
      <c r="F28" s="94"/>
      <c r="G28" s="115">
        <f>SUM(G14:G27)</f>
        <v>272.5</v>
      </c>
    </row>
    <row r="29" spans="1:7" ht="18.75" customHeight="1" x14ac:dyDescent="0.25">
      <c r="A29" s="110" t="s">
        <v>1080</v>
      </c>
      <c r="B29" s="98"/>
      <c r="C29" s="99"/>
      <c r="D29" s="97"/>
      <c r="E29" s="99"/>
      <c r="F29" s="94"/>
      <c r="G29" s="99"/>
    </row>
    <row r="30" spans="1:7" ht="15.75" customHeight="1" x14ac:dyDescent="0.25">
      <c r="A30" s="97"/>
      <c r="B30" s="97"/>
      <c r="C30" s="344"/>
      <c r="D30" s="461" t="str">
        <f>'F 1'!D115</f>
        <v>Jakarta, 15 Juni 2010</v>
      </c>
      <c r="E30" s="99"/>
      <c r="F30" s="99"/>
      <c r="G30" s="99"/>
    </row>
    <row r="31" spans="1:7" ht="23.25" customHeight="1" x14ac:dyDescent="0.25">
      <c r="A31" s="100"/>
      <c r="B31" s="97"/>
      <c r="C31" s="344"/>
      <c r="D31" s="94"/>
      <c r="E31" s="99"/>
      <c r="F31" s="99"/>
      <c r="G31" s="99"/>
    </row>
    <row r="32" spans="1:7" ht="15" customHeight="1" x14ac:dyDescent="0.25">
      <c r="A32" s="100"/>
      <c r="B32" s="97"/>
      <c r="C32" s="344"/>
      <c r="D32" s="462" t="str">
        <f>'F 1'!D117:F117</f>
        <v>Nama Asesor : Dr. I G. P. Purnaba, DEA</v>
      </c>
      <c r="E32" s="105"/>
      <c r="F32" s="105"/>
      <c r="G32" s="99"/>
    </row>
    <row r="33" spans="1:7" ht="15.75" customHeight="1" x14ac:dyDescent="0.25">
      <c r="A33" s="104"/>
      <c r="B33" s="104"/>
      <c r="C33" s="344"/>
      <c r="D33" s="101"/>
      <c r="E33" s="99"/>
      <c r="F33" s="99"/>
      <c r="G33" s="99"/>
    </row>
    <row r="34" spans="1:7" s="25" customFormat="1" ht="15.75" customHeight="1" x14ac:dyDescent="0.25">
      <c r="A34" s="104"/>
      <c r="B34" s="104"/>
      <c r="C34" s="344"/>
      <c r="D34" s="101"/>
      <c r="E34" s="99"/>
      <c r="F34" s="99"/>
      <c r="G34" s="99"/>
    </row>
    <row r="35" spans="1:7" ht="15" customHeight="1" x14ac:dyDescent="0.25">
      <c r="A35" s="104"/>
      <c r="B35" s="104"/>
      <c r="C35" s="344"/>
      <c r="D35" s="462" t="str">
        <f>'F 1'!D120</f>
        <v>Tanda Tangan :</v>
      </c>
      <c r="E35" s="99"/>
      <c r="F35" s="99"/>
      <c r="G35" s="99"/>
    </row>
    <row r="36" spans="1:7" ht="15.75" customHeight="1" x14ac:dyDescent="0.25">
      <c r="A36" s="104"/>
      <c r="B36" s="113"/>
      <c r="C36" s="99"/>
      <c r="D36" s="342"/>
      <c r="E36" s="99"/>
      <c r="F36" s="94"/>
      <c r="G36" s="99"/>
    </row>
    <row r="37" spans="1:7" ht="15.75" customHeight="1" x14ac:dyDescent="0.25">
      <c r="A37" s="104"/>
      <c r="B37" s="113"/>
      <c r="C37" s="99"/>
      <c r="D37" s="114"/>
      <c r="E37" s="99"/>
      <c r="F37" s="94"/>
      <c r="G37" s="99"/>
    </row>
    <row r="38" spans="1:7" ht="15" customHeight="1" x14ac:dyDescent="0.25">
      <c r="A38" s="19"/>
      <c r="B38" s="19"/>
      <c r="C38" s="39"/>
    </row>
    <row r="39" spans="1:7" ht="15" customHeight="1" x14ac:dyDescent="0.25">
      <c r="A39" s="19"/>
      <c r="B39" s="19"/>
      <c r="C39" s="39"/>
    </row>
    <row r="40" spans="1:7" x14ac:dyDescent="0.25">
      <c r="A40" s="19"/>
      <c r="B40" s="19"/>
      <c r="C40" s="39"/>
      <c r="G40" s="46"/>
    </row>
    <row r="41" spans="1:7" ht="15.75" x14ac:dyDescent="0.25">
      <c r="A41" s="6"/>
    </row>
    <row r="42" spans="1:7" ht="15.75" x14ac:dyDescent="0.25">
      <c r="A42" s="6"/>
    </row>
    <row r="43" spans="1:7" ht="15" customHeight="1" x14ac:dyDescent="0.25">
      <c r="A43" s="566"/>
      <c r="B43" s="567"/>
      <c r="C43" s="493"/>
    </row>
    <row r="44" spans="1:7" x14ac:dyDescent="0.25">
      <c r="A44" s="566"/>
      <c r="B44" s="567"/>
      <c r="C44" s="493"/>
    </row>
    <row r="45" spans="1:7" x14ac:dyDescent="0.25">
      <c r="A45" s="566"/>
      <c r="B45" s="567"/>
      <c r="C45" s="493"/>
    </row>
    <row r="46" spans="1:7" ht="15" customHeight="1" x14ac:dyDescent="0.25">
      <c r="A46" s="566"/>
      <c r="B46" s="567"/>
      <c r="C46" s="493"/>
    </row>
    <row r="47" spans="1:7" x14ac:dyDescent="0.25">
      <c r="A47" s="566"/>
      <c r="B47" s="567"/>
      <c r="C47" s="493"/>
    </row>
    <row r="48" spans="1:7" x14ac:dyDescent="0.25">
      <c r="A48" s="566"/>
      <c r="B48" s="567"/>
      <c r="C48" s="493"/>
    </row>
  </sheetData>
  <sheetProtection selectLockedCells="1"/>
  <mergeCells count="12">
    <mergeCell ref="A46:A48"/>
    <mergeCell ref="B46:B48"/>
    <mergeCell ref="C46:C48"/>
    <mergeCell ref="A11:A12"/>
    <mergeCell ref="C11:C12"/>
    <mergeCell ref="E11:E12"/>
    <mergeCell ref="D11:D12"/>
    <mergeCell ref="G11:G12"/>
    <mergeCell ref="A43:A45"/>
    <mergeCell ref="B43:B45"/>
    <mergeCell ref="C43:C45"/>
    <mergeCell ref="B11:B1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topLeftCell="A52" workbookViewId="0">
      <selection activeCell="D60" sqref="D60"/>
    </sheetView>
  </sheetViews>
  <sheetFormatPr defaultRowHeight="15" x14ac:dyDescent="0.25"/>
  <cols>
    <col min="1" max="1" width="5.42578125" style="4" customWidth="1"/>
    <col min="2" max="2" width="11.28515625" style="4" customWidth="1"/>
    <col min="3" max="3" width="24.7109375" style="27" customWidth="1"/>
    <col min="4" max="4" width="28" style="4" customWidth="1"/>
    <col min="5" max="5" width="8.5703125" style="8" customWidth="1"/>
    <col min="6" max="6" width="8" style="8" customWidth="1"/>
    <col min="8" max="8" width="13.140625" customWidth="1"/>
  </cols>
  <sheetData>
    <row r="1" spans="1:10" ht="15.75" x14ac:dyDescent="0.25">
      <c r="A1" s="116" t="s">
        <v>224</v>
      </c>
      <c r="B1" s="116"/>
      <c r="C1" s="116"/>
      <c r="D1" s="116"/>
      <c r="E1" s="117"/>
      <c r="F1" s="116"/>
      <c r="G1" s="116"/>
      <c r="H1" s="94"/>
    </row>
    <row r="2" spans="1:10" ht="15.75" x14ac:dyDescent="0.25">
      <c r="A2" s="109"/>
      <c r="B2" s="97"/>
      <c r="C2" s="118"/>
      <c r="D2" s="97"/>
      <c r="E2" s="99"/>
      <c r="F2" s="99"/>
      <c r="G2" s="94"/>
      <c r="H2" s="94"/>
    </row>
    <row r="3" spans="1:10" ht="15.75" x14ac:dyDescent="0.25">
      <c r="A3" s="96" t="s">
        <v>183</v>
      </c>
      <c r="B3" s="97"/>
      <c r="C3" s="118"/>
      <c r="D3" s="97"/>
      <c r="E3" s="99"/>
      <c r="F3" s="99"/>
      <c r="G3" s="94"/>
      <c r="H3" s="94"/>
    </row>
    <row r="4" spans="1:10" ht="8.25" customHeight="1" x14ac:dyDescent="0.25">
      <c r="A4" s="100"/>
      <c r="B4" s="97"/>
      <c r="C4" s="118"/>
      <c r="D4" s="97"/>
      <c r="E4" s="99"/>
      <c r="F4" s="99"/>
      <c r="G4" s="94"/>
      <c r="H4" s="94"/>
    </row>
    <row r="5" spans="1:10" ht="15.75" customHeight="1" x14ac:dyDescent="0.25">
      <c r="A5" s="463" t="s">
        <v>194</v>
      </c>
      <c r="B5" s="463"/>
      <c r="C5" s="463"/>
      <c r="D5" s="119" t="str">
        <f>'F 1'!D5</f>
        <v>: Universitas X</v>
      </c>
      <c r="E5" s="99"/>
      <c r="F5" s="99"/>
      <c r="G5" s="94"/>
      <c r="H5" s="94"/>
    </row>
    <row r="6" spans="1:10" ht="15.75" customHeight="1" x14ac:dyDescent="0.25">
      <c r="A6" s="463" t="s">
        <v>195</v>
      </c>
      <c r="B6" s="463"/>
      <c r="C6" s="463"/>
      <c r="D6" s="337" t="str">
        <f>'F 1'!D6</f>
        <v>: FMIPA</v>
      </c>
      <c r="E6" s="99"/>
      <c r="F6" s="99"/>
      <c r="G6" s="94"/>
      <c r="H6" s="94"/>
    </row>
    <row r="7" spans="1:10" ht="15.75" customHeight="1" x14ac:dyDescent="0.25">
      <c r="A7" s="463" t="s">
        <v>196</v>
      </c>
      <c r="B7" s="463"/>
      <c r="C7" s="463"/>
      <c r="D7" s="337" t="str">
        <f>'F 1'!D7</f>
        <v>: Sistem Informasi</v>
      </c>
      <c r="E7" s="99"/>
      <c r="F7" s="99"/>
      <c r="G7" s="94"/>
      <c r="H7" s="94"/>
    </row>
    <row r="8" spans="1:10" ht="15.75" customHeight="1" x14ac:dyDescent="0.25">
      <c r="A8" s="463" t="s">
        <v>197</v>
      </c>
      <c r="B8" s="463"/>
      <c r="C8" s="463"/>
      <c r="D8" s="337" t="str">
        <f>'F 1'!D8</f>
        <v>: I G. P. Purnaba</v>
      </c>
      <c r="E8" s="99"/>
      <c r="F8" s="99"/>
      <c r="G8" s="94"/>
      <c r="H8" s="94"/>
    </row>
    <row r="9" spans="1:10" ht="15.75" customHeight="1" x14ac:dyDescent="0.25">
      <c r="A9" s="463" t="s">
        <v>0</v>
      </c>
      <c r="B9" s="463"/>
      <c r="C9" s="463"/>
      <c r="D9" s="337" t="str">
        <f>'F 1'!D9</f>
        <v>: 16 Juni 2010</v>
      </c>
      <c r="E9" s="99"/>
      <c r="F9" s="99"/>
      <c r="G9" s="94"/>
      <c r="H9" s="94"/>
    </row>
    <row r="10" spans="1:10" s="25" customFormat="1" ht="15.75" customHeight="1" thickBot="1" x14ac:dyDescent="0.3">
      <c r="A10" s="463"/>
      <c r="B10" s="463"/>
      <c r="C10" s="463"/>
      <c r="D10" s="337"/>
      <c r="E10" s="99"/>
      <c r="F10" s="99"/>
      <c r="G10" s="94"/>
      <c r="H10" s="94"/>
    </row>
    <row r="11" spans="1:10" ht="35.25" customHeight="1" thickBot="1" x14ac:dyDescent="0.3">
      <c r="A11" s="487" t="s">
        <v>1</v>
      </c>
      <c r="B11" s="488" t="s">
        <v>2</v>
      </c>
      <c r="C11" s="488" t="s">
        <v>3</v>
      </c>
      <c r="D11" s="488" t="s">
        <v>225</v>
      </c>
      <c r="E11" s="489" t="s">
        <v>5</v>
      </c>
      <c r="F11" s="490" t="s">
        <v>6</v>
      </c>
      <c r="G11" s="94"/>
      <c r="H11" s="121" t="s">
        <v>340</v>
      </c>
      <c r="I11" s="88"/>
      <c r="J11" s="88"/>
    </row>
    <row r="12" spans="1:10" ht="56.25" customHeight="1" x14ac:dyDescent="0.25">
      <c r="A12" s="482">
        <v>1</v>
      </c>
      <c r="B12" s="483" t="s">
        <v>226</v>
      </c>
      <c r="C12" s="484" t="s">
        <v>227</v>
      </c>
      <c r="D12" s="484" t="str">
        <f>'hitung F3'!G4</f>
        <v>Visi Fakultas: …</v>
      </c>
      <c r="E12" s="485">
        <v>1.59</v>
      </c>
      <c r="F12" s="492">
        <f>'hitung F3'!E9</f>
        <v>1</v>
      </c>
      <c r="G12" s="94"/>
      <c r="H12" s="107">
        <f>E12*F12</f>
        <v>1.59</v>
      </c>
    </row>
    <row r="13" spans="1:10" ht="57.75" customHeight="1" x14ac:dyDescent="0.25">
      <c r="A13" s="474">
        <v>2</v>
      </c>
      <c r="B13" s="468" t="s">
        <v>228</v>
      </c>
      <c r="C13" s="471" t="s">
        <v>9</v>
      </c>
      <c r="D13" s="469" t="str">
        <f>'hitung F3'!G11</f>
        <v>Strategi pencapaian sasaran …</v>
      </c>
      <c r="E13" s="470">
        <v>1.59</v>
      </c>
      <c r="F13" s="475">
        <f>'hitung F3'!E16</f>
        <v>1</v>
      </c>
      <c r="G13" s="94"/>
      <c r="H13" s="107">
        <f t="shared" ref="H13:H55" si="0">E13*F13</f>
        <v>1.59</v>
      </c>
    </row>
    <row r="14" spans="1:10" ht="121.5" customHeight="1" x14ac:dyDescent="0.25">
      <c r="A14" s="474">
        <v>3</v>
      </c>
      <c r="B14" s="468">
        <v>1.2</v>
      </c>
      <c r="C14" s="469" t="s">
        <v>229</v>
      </c>
      <c r="D14" s="469" t="str">
        <f>'hitung F3'!G18</f>
        <v>Sosialisasi dilakukan dengan cara: …</v>
      </c>
      <c r="E14" s="470">
        <v>1.59</v>
      </c>
      <c r="F14" s="475">
        <f>'hitung F3'!E23</f>
        <v>1</v>
      </c>
      <c r="G14" s="94"/>
      <c r="H14" s="107">
        <f t="shared" si="0"/>
        <v>1.59</v>
      </c>
    </row>
    <row r="15" spans="1:10" ht="108" customHeight="1" x14ac:dyDescent="0.25">
      <c r="A15" s="474">
        <v>4</v>
      </c>
      <c r="B15" s="468">
        <v>2.1</v>
      </c>
      <c r="C15" s="469" t="s">
        <v>230</v>
      </c>
      <c r="D15" s="469" t="str">
        <f>'hitung F3'!G25</f>
        <v>Pimpinan Fakultas telah menjalankan tata pamong yang …</v>
      </c>
      <c r="E15" s="470">
        <v>2.86</v>
      </c>
      <c r="F15" s="475">
        <f>'hitung F3'!E30</f>
        <v>0</v>
      </c>
      <c r="G15" s="94"/>
      <c r="H15" s="107">
        <f t="shared" si="0"/>
        <v>0</v>
      </c>
    </row>
    <row r="16" spans="1:10" ht="76.5" x14ac:dyDescent="0.25">
      <c r="A16" s="474">
        <v>5</v>
      </c>
      <c r="B16" s="468">
        <v>2.2000000000000002</v>
      </c>
      <c r="C16" s="472" t="s">
        <v>231</v>
      </c>
      <c r="D16" s="469" t="str">
        <f>'hitung F3'!G32</f>
        <v>Struktur organisasi terdiri atas unit: …</v>
      </c>
      <c r="E16" s="470">
        <v>1.43</v>
      </c>
      <c r="F16" s="475">
        <f>'hitung F3'!E37</f>
        <v>1</v>
      </c>
      <c r="G16" s="120"/>
      <c r="H16" s="107">
        <f t="shared" si="0"/>
        <v>1.43</v>
      </c>
    </row>
    <row r="17" spans="1:8" ht="76.5" x14ac:dyDescent="0.25">
      <c r="A17" s="474">
        <v>6</v>
      </c>
      <c r="B17" s="468">
        <v>2.2999999999999998</v>
      </c>
      <c r="C17" s="469" t="s">
        <v>232</v>
      </c>
      <c r="D17" s="469" t="str">
        <f>'hitung F3'!G39</f>
        <v>Kepemimpinan Fakultas …</v>
      </c>
      <c r="E17" s="470">
        <v>2.86</v>
      </c>
      <c r="F17" s="475">
        <f>'hitung F3'!E44</f>
        <v>1</v>
      </c>
      <c r="G17" s="94"/>
      <c r="H17" s="107">
        <f t="shared" si="0"/>
        <v>2.86</v>
      </c>
    </row>
    <row r="18" spans="1:8" ht="89.25" x14ac:dyDescent="0.25">
      <c r="A18" s="474">
        <v>7</v>
      </c>
      <c r="B18" s="468">
        <v>2.4</v>
      </c>
      <c r="C18" s="472" t="s">
        <v>233</v>
      </c>
      <c r="D18" s="469" t="str">
        <f>'hitung F3'!G46</f>
        <v xml:space="preserve">Sistem pengelolaan fungsional dan operasional Fakultas mencakup: planning, organizing, staffing, leading, controlling </v>
      </c>
      <c r="E18" s="470">
        <v>2.86</v>
      </c>
      <c r="F18" s="475">
        <f>'hitung F3'!E52</f>
        <v>0</v>
      </c>
      <c r="G18" s="94"/>
      <c r="H18" s="107">
        <f t="shared" si="0"/>
        <v>0</v>
      </c>
    </row>
    <row r="19" spans="1:8" ht="38.25" x14ac:dyDescent="0.25">
      <c r="A19" s="474">
        <v>8</v>
      </c>
      <c r="B19" s="468" t="s">
        <v>234</v>
      </c>
      <c r="C19" s="469" t="s">
        <v>235</v>
      </c>
      <c r="D19" s="469" t="str">
        <f>'hitung F3'!G54</f>
        <v>Keberadaan dan efektivitas unit pelaksana penjaminan mutu.</v>
      </c>
      <c r="E19" s="470">
        <v>2.86</v>
      </c>
      <c r="F19" s="475">
        <f>'hitung F3'!E60</f>
        <v>0</v>
      </c>
      <c r="G19" s="94"/>
      <c r="H19" s="107">
        <f t="shared" si="0"/>
        <v>0</v>
      </c>
    </row>
    <row r="20" spans="1:8" ht="25.5" x14ac:dyDescent="0.25">
      <c r="A20" s="474">
        <v>9</v>
      </c>
      <c r="B20" s="468" t="s">
        <v>236</v>
      </c>
      <c r="C20" s="469" t="s">
        <v>237</v>
      </c>
      <c r="D20" s="469" t="str">
        <f>'hitung F3'!G62</f>
        <v>Standar mutu dan pelaksanaannya.</v>
      </c>
      <c r="E20" s="470">
        <v>1.43</v>
      </c>
      <c r="F20" s="475">
        <f>'hitung F3'!E68</f>
        <v>0</v>
      </c>
      <c r="G20" s="94"/>
      <c r="H20" s="107">
        <f t="shared" si="0"/>
        <v>0</v>
      </c>
    </row>
    <row r="21" spans="1:8" ht="42.75" customHeight="1" x14ac:dyDescent="0.25">
      <c r="A21" s="474">
        <v>10</v>
      </c>
      <c r="B21" s="468" t="s">
        <v>238</v>
      </c>
      <c r="C21" s="472" t="s">
        <v>239</v>
      </c>
      <c r="D21" s="469" t="str">
        <f>'hitung F3'!G70</f>
        <v>Sistem penerimaan mahasiswa baru.</v>
      </c>
      <c r="E21" s="470">
        <v>2.38</v>
      </c>
      <c r="F21" s="475">
        <f>'hitung F3'!E76</f>
        <v>0</v>
      </c>
      <c r="G21" s="94"/>
      <c r="H21" s="107">
        <f t="shared" si="0"/>
        <v>0</v>
      </c>
    </row>
    <row r="22" spans="1:8" ht="41.25" customHeight="1" x14ac:dyDescent="0.25">
      <c r="A22" s="474">
        <v>11</v>
      </c>
      <c r="B22" s="468" t="s">
        <v>23</v>
      </c>
      <c r="C22" s="472" t="s">
        <v>240</v>
      </c>
      <c r="D22" s="469" t="str">
        <f>'hitung F3'!G78</f>
        <v xml:space="preserve">Rasio mahasiswa baru transfer terhadap mahasiswa baru bukan transfer = (7/171) = 000. </v>
      </c>
      <c r="E22" s="470">
        <v>4.76</v>
      </c>
      <c r="F22" s="475">
        <f>'hitung F3'!E82</f>
        <v>4</v>
      </c>
      <c r="G22" s="94"/>
      <c r="H22" s="107">
        <f t="shared" si="0"/>
        <v>19.04</v>
      </c>
    </row>
    <row r="23" spans="1:8" ht="32.25" customHeight="1" x14ac:dyDescent="0.25">
      <c r="A23" s="474">
        <v>12</v>
      </c>
      <c r="B23" s="468" t="s">
        <v>25</v>
      </c>
      <c r="C23" s="472" t="s">
        <v>241</v>
      </c>
      <c r="D23" s="469" t="str">
        <f>'hitung F3'!G84</f>
        <v>Motivasi penerimaan mahasiswa transfer:</v>
      </c>
      <c r="E23" s="470">
        <v>2.38</v>
      </c>
      <c r="F23" s="475">
        <f>'hitung F3'!E89</f>
        <v>1</v>
      </c>
      <c r="G23" s="94"/>
      <c r="H23" s="107">
        <f t="shared" si="0"/>
        <v>2.38</v>
      </c>
    </row>
    <row r="24" spans="1:8" ht="30.75" customHeight="1" x14ac:dyDescent="0.25">
      <c r="A24" s="474">
        <v>13</v>
      </c>
      <c r="B24" s="468" t="s">
        <v>31</v>
      </c>
      <c r="C24" s="472" t="s">
        <v>242</v>
      </c>
      <c r="D24" s="469" t="str">
        <f>'hitung F3'!G91</f>
        <v>Rata-rata masa studi lulusan = …, dan rata-rata IPK lulusan = …</v>
      </c>
      <c r="E24" s="470">
        <v>4.76</v>
      </c>
      <c r="F24" s="475">
        <f>'hitung F3'!E93</f>
        <v>2.2000000000000002</v>
      </c>
      <c r="G24" s="94"/>
      <c r="H24" s="107">
        <f t="shared" si="0"/>
        <v>10.472</v>
      </c>
    </row>
    <row r="25" spans="1:8" ht="69.75" customHeight="1" x14ac:dyDescent="0.25">
      <c r="A25" s="474">
        <v>14</v>
      </c>
      <c r="B25" s="468" t="s">
        <v>33</v>
      </c>
      <c r="C25" s="472" t="s">
        <v>243</v>
      </c>
      <c r="D25" s="469" t="str">
        <f>'hitung F3'!G119</f>
        <v>Upaya pengembangan dan peningkatan mutu lulusan: …</v>
      </c>
      <c r="E25" s="470">
        <v>4.76</v>
      </c>
      <c r="F25" s="475">
        <f>'hitung F3'!E125</f>
        <v>2</v>
      </c>
      <c r="G25" s="94"/>
      <c r="H25" s="107">
        <f t="shared" si="0"/>
        <v>9.52</v>
      </c>
    </row>
    <row r="26" spans="1:8" ht="107.25" customHeight="1" x14ac:dyDescent="0.25">
      <c r="A26" s="474">
        <v>15</v>
      </c>
      <c r="B26" s="468" t="s">
        <v>244</v>
      </c>
      <c r="C26" s="472" t="s">
        <v>245</v>
      </c>
      <c r="D26" s="469" t="str">
        <f>'hitung F3'!G127</f>
        <v>Jumlah total dosen tetap = 27 (7 S1, 16 S2, 4 S3). Pengelompokan berdasarkan jabatan akademik: … orang tanpa jabatan akademik, … orang Asisten Ahli, … orang Lektor, … orang Lektor Kepala, dan … orang Guru Besar.</v>
      </c>
      <c r="E26" s="470">
        <v>8.16</v>
      </c>
      <c r="F26" s="475">
        <f>'hitung F3'!E129</f>
        <v>2.6666666666666665</v>
      </c>
      <c r="G26" s="94"/>
      <c r="H26" s="107">
        <f t="shared" si="0"/>
        <v>21.759999999999998</v>
      </c>
    </row>
    <row r="27" spans="1:8" ht="38.25" x14ac:dyDescent="0.25">
      <c r="A27" s="474">
        <v>16</v>
      </c>
      <c r="B27" s="468" t="s">
        <v>246</v>
      </c>
      <c r="C27" s="472" t="s">
        <v>247</v>
      </c>
      <c r="D27" s="469" t="str">
        <f>'hitung F3'!G131</f>
        <v>Upaya pengembangan dan peningkatan mutu dosen tetap dilakukan dengan: …</v>
      </c>
      <c r="E27" s="470">
        <v>2.72</v>
      </c>
      <c r="F27" s="475">
        <f>'hitung F3'!E132</f>
        <v>1</v>
      </c>
      <c r="G27" s="94"/>
      <c r="H27" s="107">
        <f t="shared" si="0"/>
        <v>2.72</v>
      </c>
    </row>
    <row r="28" spans="1:8" ht="78.75" customHeight="1" x14ac:dyDescent="0.25">
      <c r="A28" s="474">
        <v>17</v>
      </c>
      <c r="B28" s="468" t="s">
        <v>248</v>
      </c>
      <c r="C28" s="472" t="s">
        <v>249</v>
      </c>
      <c r="D28" s="469" t="str">
        <f>'hitung F3'!G134</f>
        <v>Jumlah total dosen tetap = 27 (7 S1, 16 S2, 4 S3). Jumlah dosen tetap yang tugas belajar S2 = 5 orang, dan yang tugas belajar S3 = 4 orang. Banyaknya program studi di Fakultas = 4.</v>
      </c>
      <c r="E28" s="470">
        <v>2.72</v>
      </c>
      <c r="F28" s="475">
        <f>'hitung F3'!E145</f>
        <v>0.9375</v>
      </c>
      <c r="G28" s="94"/>
      <c r="H28" s="107">
        <f t="shared" si="0"/>
        <v>2.5500000000000003</v>
      </c>
    </row>
    <row r="29" spans="1:8" ht="44.25" customHeight="1" x14ac:dyDescent="0.25">
      <c r="A29" s="474">
        <v>18</v>
      </c>
      <c r="B29" s="468" t="s">
        <v>250</v>
      </c>
      <c r="C29" s="472" t="s">
        <v>251</v>
      </c>
      <c r="D29" s="469" t="str">
        <f>'hitung F3'!G147</f>
        <v xml:space="preserve">Upaya fakultas dalam mengembangkan tenaga dosen tetap: </v>
      </c>
      <c r="E29" s="470">
        <v>2.72</v>
      </c>
      <c r="F29" s="475">
        <f>'hitung F3'!E150</f>
        <v>0</v>
      </c>
      <c r="G29" s="94"/>
      <c r="H29" s="107">
        <f t="shared" si="0"/>
        <v>0</v>
      </c>
    </row>
    <row r="30" spans="1:8" ht="33" customHeight="1" x14ac:dyDescent="0.25">
      <c r="A30" s="474">
        <v>19</v>
      </c>
      <c r="B30" s="468">
        <v>4.2</v>
      </c>
      <c r="C30" s="472" t="s">
        <v>252</v>
      </c>
      <c r="D30" s="469" t="str">
        <f>'hitung F3'!G152</f>
        <v>Kecukupan dan kualifikasi tenaga kependidikan.</v>
      </c>
      <c r="E30" s="470">
        <v>2.72</v>
      </c>
      <c r="F30" s="475">
        <f>'hitung F3'!E153</f>
        <v>1</v>
      </c>
      <c r="G30" s="94"/>
      <c r="H30" s="107">
        <f t="shared" si="0"/>
        <v>2.72</v>
      </c>
    </row>
    <row r="31" spans="1:8" ht="76.5" x14ac:dyDescent="0.25">
      <c r="A31" s="474">
        <v>20</v>
      </c>
      <c r="B31" s="468">
        <v>5.0999999999999996</v>
      </c>
      <c r="C31" s="472" t="s">
        <v>253</v>
      </c>
      <c r="D31" s="469" t="str">
        <f>'hitung F3'!G155</f>
        <v xml:space="preserve">Bentuk dukungan Fakultas/Sekolah Tinggi dalam penyusunan, implementasi, dan pengembangan kurikulum antara lain: </v>
      </c>
      <c r="E31" s="470">
        <v>1.59</v>
      </c>
      <c r="F31" s="475">
        <f>'hitung F3'!E156</f>
        <v>3</v>
      </c>
      <c r="G31" s="94"/>
      <c r="H31" s="107">
        <f t="shared" si="0"/>
        <v>4.7700000000000005</v>
      </c>
    </row>
    <row r="32" spans="1:8" ht="51" x14ac:dyDescent="0.25">
      <c r="A32" s="474">
        <v>21</v>
      </c>
      <c r="B32" s="468">
        <v>5.2</v>
      </c>
      <c r="C32" s="472" t="s">
        <v>254</v>
      </c>
      <c r="D32" s="469" t="str">
        <f>'hitung F3'!G158</f>
        <v>Monitoring dan evaluasi yang dilakukan oleh pihak Fakultas: …</v>
      </c>
      <c r="E32" s="470">
        <v>1.59</v>
      </c>
      <c r="F32" s="475">
        <f>'hitung F3'!E159</f>
        <v>2</v>
      </c>
      <c r="G32" s="94"/>
      <c r="H32" s="107">
        <f t="shared" si="0"/>
        <v>3.18</v>
      </c>
    </row>
    <row r="33" spans="1:8" ht="51" x14ac:dyDescent="0.25">
      <c r="A33" s="474">
        <v>22</v>
      </c>
      <c r="B33" s="468">
        <v>5.3</v>
      </c>
      <c r="C33" s="472" t="s">
        <v>255</v>
      </c>
      <c r="D33" s="469" t="str">
        <f>'hitung F3'!G161</f>
        <v>Bentuk dukungan Fakultas dalam peningkatan suasana akademik antara lain:</v>
      </c>
      <c r="E33" s="470">
        <v>1.59</v>
      </c>
      <c r="F33" s="475">
        <f>'hitung F3'!E163</f>
        <v>2.2000000000000002</v>
      </c>
      <c r="G33" s="94"/>
      <c r="H33" s="107">
        <f t="shared" si="0"/>
        <v>3.4980000000000007</v>
      </c>
    </row>
    <row r="34" spans="1:8" ht="92.25" customHeight="1" x14ac:dyDescent="0.25">
      <c r="A34" s="474">
        <v>23</v>
      </c>
      <c r="B34" s="468" t="s">
        <v>256</v>
      </c>
      <c r="C34" s="472" t="s">
        <v>257</v>
      </c>
      <c r="D34" s="469" t="str">
        <f>'hitung F3'!G165</f>
        <v>Penggunaan dana untuk operasional (pendidikan, penelitian, pelayanan/ pengabdian kepada masyarakat). Jumlah dana operasional per mhs per tahun  = Rp 005 juta per tahun.</v>
      </c>
      <c r="E34" s="470">
        <v>1.06</v>
      </c>
      <c r="F34" s="475">
        <f>'hitung F3'!E167</f>
        <v>1.0488420603412401</v>
      </c>
      <c r="G34" s="94"/>
      <c r="H34" s="107">
        <f t="shared" si="0"/>
        <v>1.1117725839617145</v>
      </c>
    </row>
    <row r="35" spans="1:8" ht="71.25" customHeight="1" x14ac:dyDescent="0.25">
      <c r="A35" s="474">
        <v>24</v>
      </c>
      <c r="B35" s="468" t="s">
        <v>258</v>
      </c>
      <c r="C35" s="472" t="s">
        <v>259</v>
      </c>
      <c r="D35" s="469" t="str">
        <f>'hitung F3'!G169</f>
        <v>Dana penelitian dalam tiga tahun terakhir. Rata-rata dana penelitian per dosen tetap per tahun = Rp 000 juta per dosen tetap per tahun.</v>
      </c>
      <c r="E35" s="470">
        <v>1.06</v>
      </c>
      <c r="F35" s="475">
        <f>'hitung F3'!E171</f>
        <v>0.49382716049382713</v>
      </c>
      <c r="G35" s="94"/>
      <c r="H35" s="107">
        <f t="shared" si="0"/>
        <v>0.52345679012345681</v>
      </c>
    </row>
    <row r="36" spans="1:8" ht="82.5" customHeight="1" x14ac:dyDescent="0.25">
      <c r="A36" s="474">
        <v>25</v>
      </c>
      <c r="B36" s="468" t="s">
        <v>260</v>
      </c>
      <c r="C36" s="472" t="s">
        <v>261</v>
      </c>
      <c r="D36" s="469" t="str">
        <f>'hitung F3'!G173</f>
        <v>Dana kegiatan PkM dalam tiga tahun terakhir. Rata-rata dana PkM per dosen per tahun = Rp 000 juta per dosen per tahun.</v>
      </c>
      <c r="E36" s="470">
        <v>1.06</v>
      </c>
      <c r="F36" s="475">
        <f>'hitung F3'!E175</f>
        <v>0.49382716049382713</v>
      </c>
      <c r="G36" s="94"/>
      <c r="H36" s="107">
        <f t="shared" si="0"/>
        <v>0.52345679012345681</v>
      </c>
    </row>
    <row r="37" spans="1:8" ht="48.75" customHeight="1" x14ac:dyDescent="0.25">
      <c r="A37" s="474">
        <v>26</v>
      </c>
      <c r="B37" s="468" t="s">
        <v>262</v>
      </c>
      <c r="C37" s="472" t="s">
        <v>263</v>
      </c>
      <c r="D37" s="469" t="str">
        <f>'hitung F3'!G177</f>
        <v>Kecukupan dana yang diperoleh Fakultas/Sekolah Tinggi.</v>
      </c>
      <c r="E37" s="470">
        <v>1.06</v>
      </c>
      <c r="F37" s="475">
        <f>'hitung F3'!E178</f>
        <v>2</v>
      </c>
      <c r="G37" s="94"/>
      <c r="H37" s="107">
        <f t="shared" si="0"/>
        <v>2.12</v>
      </c>
    </row>
    <row r="38" spans="1:8" ht="63.75" x14ac:dyDescent="0.25">
      <c r="A38" s="474">
        <v>27</v>
      </c>
      <c r="B38" s="468" t="s">
        <v>264</v>
      </c>
      <c r="C38" s="469" t="s">
        <v>265</v>
      </c>
      <c r="D38" s="469" t="str">
        <f>'hitung F3'!G180</f>
        <v>Upaya pengembangan dana oleh Fakultas/Sekolah Tinggi.</v>
      </c>
      <c r="E38" s="470">
        <v>1.06</v>
      </c>
      <c r="F38" s="475">
        <f>'hitung F3'!E181</f>
        <v>2</v>
      </c>
      <c r="G38" s="94"/>
      <c r="H38" s="107">
        <f t="shared" si="0"/>
        <v>2.12</v>
      </c>
    </row>
    <row r="39" spans="1:8" ht="51" x14ac:dyDescent="0.25">
      <c r="A39" s="474">
        <v>28</v>
      </c>
      <c r="B39" s="468" t="s">
        <v>138</v>
      </c>
      <c r="C39" s="472" t="s">
        <v>266</v>
      </c>
      <c r="D39" s="469" t="str">
        <f>'hitung F3'!G183</f>
        <v>Investasi untuk pengadaan sarana dalam tiga tahun terakhir:</v>
      </c>
      <c r="E39" s="470">
        <v>2.12</v>
      </c>
      <c r="F39" s="475">
        <f>'hitung F3'!E184</f>
        <v>2</v>
      </c>
      <c r="G39" s="94"/>
      <c r="H39" s="107">
        <f t="shared" si="0"/>
        <v>4.24</v>
      </c>
    </row>
    <row r="40" spans="1:8" ht="38.25" x14ac:dyDescent="0.25">
      <c r="A40" s="474">
        <v>29</v>
      </c>
      <c r="B40" s="468" t="s">
        <v>139</v>
      </c>
      <c r="C40" s="472" t="s">
        <v>267</v>
      </c>
      <c r="D40" s="469" t="str">
        <f>'hitung F3'!G186</f>
        <v>Rencana investasi untuk pengadaan sarana dalam lima tahun ke depan.</v>
      </c>
      <c r="E40" s="470">
        <v>1.06</v>
      </c>
      <c r="F40" s="475">
        <f>'hitung F3'!E187</f>
        <v>2.5</v>
      </c>
      <c r="G40" s="94"/>
      <c r="H40" s="107">
        <f t="shared" si="0"/>
        <v>2.6500000000000004</v>
      </c>
    </row>
    <row r="41" spans="1:8" ht="51" x14ac:dyDescent="0.25">
      <c r="A41" s="474">
        <v>30</v>
      </c>
      <c r="B41" s="468" t="s">
        <v>143</v>
      </c>
      <c r="C41" s="469" t="s">
        <v>268</v>
      </c>
      <c r="D41" s="469" t="str">
        <f>'hitung F3'!G189</f>
        <v>Mutu, kecukupan, akses prasarana yang dikelola Fakultas untuk PS.</v>
      </c>
      <c r="E41" s="470">
        <v>2.12</v>
      </c>
      <c r="F41" s="475">
        <f>'hitung F3'!E190</f>
        <v>2.5</v>
      </c>
      <c r="G41" s="94"/>
      <c r="H41" s="107">
        <f t="shared" si="0"/>
        <v>5.3000000000000007</v>
      </c>
    </row>
    <row r="42" spans="1:8" ht="51" x14ac:dyDescent="0.25">
      <c r="A42" s="474">
        <v>31</v>
      </c>
      <c r="B42" s="468" t="s">
        <v>145</v>
      </c>
      <c r="C42" s="472" t="s">
        <v>269</v>
      </c>
      <c r="D42" s="469" t="str">
        <f>'hitung F3'!G192</f>
        <v>Rencana pengembangan prasarana oleh Fakultas untuk PS:…</v>
      </c>
      <c r="E42" s="470">
        <v>1.06</v>
      </c>
      <c r="F42" s="475">
        <f>'hitung F3'!E193</f>
        <v>2</v>
      </c>
      <c r="G42" s="94"/>
      <c r="H42" s="107">
        <f t="shared" si="0"/>
        <v>2.12</v>
      </c>
    </row>
    <row r="43" spans="1:8" ht="76.5" x14ac:dyDescent="0.25">
      <c r="A43" s="474">
        <v>32</v>
      </c>
      <c r="B43" s="468" t="s">
        <v>149</v>
      </c>
      <c r="C43" s="469" t="s">
        <v>270</v>
      </c>
      <c r="D43" s="469" t="str">
        <f>'hitung F3'!G195</f>
        <v>Sistem informasi dan fasilitas yang digunakan Fakultas/Sekolah Tinggi dalam proses pembelajaran (hardware, software, e-learning, perpustakaan, dll.)</v>
      </c>
      <c r="E43" s="470">
        <v>2.12</v>
      </c>
      <c r="F43" s="475">
        <f>'hitung F3'!E196</f>
        <v>1</v>
      </c>
      <c r="G43" s="94"/>
      <c r="H43" s="107">
        <f t="shared" si="0"/>
        <v>2.12</v>
      </c>
    </row>
    <row r="44" spans="1:8" ht="63.75" x14ac:dyDescent="0.25">
      <c r="A44" s="474">
        <v>33</v>
      </c>
      <c r="B44" s="468" t="s">
        <v>151</v>
      </c>
      <c r="C44" s="469" t="s">
        <v>271</v>
      </c>
      <c r="D44" s="469" t="str">
        <f>'hitung F3'!G198</f>
        <v>Sistem informasi dan fasilitas yang digunakan Fakultas dalam administrasi (akademik, keuangan, personil, dll.).</v>
      </c>
      <c r="E44" s="470">
        <v>2.12</v>
      </c>
      <c r="F44" s="475">
        <f>'hitung F3'!E199</f>
        <v>1</v>
      </c>
      <c r="G44" s="94"/>
      <c r="H44" s="107">
        <f t="shared" si="0"/>
        <v>2.12</v>
      </c>
    </row>
    <row r="45" spans="1:8" ht="129.75" customHeight="1" x14ac:dyDescent="0.25">
      <c r="A45" s="474">
        <v>34</v>
      </c>
      <c r="B45" s="468" t="s">
        <v>158</v>
      </c>
      <c r="C45" s="472" t="s">
        <v>163</v>
      </c>
      <c r="D45" s="469" t="str">
        <f>'hitung F3'!G201</f>
        <v>Aksesibilitas data dalam sistem informasi. Dari 12 jenis data, persentase yang dikelola secara manual = 000%, dengan komputer tanpa jaringan = 100%, dengan komputer yang terhubung dengan jaringan lokal = 000%, dan dengan komputer yang terhubung jaringan luas (internet) = 000%.</v>
      </c>
      <c r="E45" s="470">
        <v>1.06</v>
      </c>
      <c r="F45" s="475">
        <f>'hitung F3'!E207</f>
        <v>2.2000000000000002</v>
      </c>
      <c r="G45" s="94"/>
      <c r="H45" s="107">
        <f t="shared" si="0"/>
        <v>2.3320000000000003</v>
      </c>
    </row>
    <row r="46" spans="1:8" ht="51" x14ac:dyDescent="0.25">
      <c r="A46" s="474">
        <v>35</v>
      </c>
      <c r="B46" s="468" t="s">
        <v>160</v>
      </c>
      <c r="C46" s="472" t="s">
        <v>272</v>
      </c>
      <c r="D46" s="469" t="str">
        <f>'hitung F3'!G210</f>
        <v>Media/cara penyebaran informasi untuk sivitas akademika di Fakultas: …</v>
      </c>
      <c r="E46" s="470">
        <v>1.06</v>
      </c>
      <c r="F46" s="475">
        <f>'hitung F3'!E211</f>
        <v>2</v>
      </c>
      <c r="G46" s="94"/>
      <c r="H46" s="107">
        <f t="shared" si="0"/>
        <v>2.12</v>
      </c>
    </row>
    <row r="47" spans="1:8" ht="102" x14ac:dyDescent="0.25">
      <c r="A47" s="474">
        <v>36</v>
      </c>
      <c r="B47" s="468" t="s">
        <v>273</v>
      </c>
      <c r="C47" s="472" t="s">
        <v>274</v>
      </c>
      <c r="D47" s="469" t="str">
        <f>'hitung F3'!G213</f>
        <v>Rencana strategis pengembangan sistem informasi jangka panjang: …</v>
      </c>
      <c r="E47" s="470">
        <v>1.06</v>
      </c>
      <c r="F47" s="475">
        <f>'hitung F3'!E214</f>
        <v>1</v>
      </c>
      <c r="G47" s="94"/>
      <c r="H47" s="107">
        <f t="shared" si="0"/>
        <v>1.06</v>
      </c>
    </row>
    <row r="48" spans="1:8" ht="96" customHeight="1" x14ac:dyDescent="0.25">
      <c r="A48" s="474">
        <v>37</v>
      </c>
      <c r="B48" s="468" t="s">
        <v>275</v>
      </c>
      <c r="C48" s="491" t="s">
        <v>276</v>
      </c>
      <c r="D48" s="469" t="str">
        <f>'hitung F3'!G216</f>
        <v>Kegiatan penelitian dosen tetap. Jumlah penelitian pada TS-2 = 1 judul, pada TS-1 = 1 judul, dan pada TS = 1 judul. Banyaknya dosen tetap = 27 orang. Rata-rata jumlah penelitian per dosen tetap per 3 tahun = 000 judul.</v>
      </c>
      <c r="E48" s="470">
        <v>4.2300000000000004</v>
      </c>
      <c r="F48" s="475">
        <f>'hitung F3'!E222</f>
        <v>1.3333333333333333</v>
      </c>
      <c r="G48" s="94"/>
      <c r="H48" s="107">
        <f t="shared" si="0"/>
        <v>5.6400000000000006</v>
      </c>
    </row>
    <row r="49" spans="1:8" ht="116.25" customHeight="1" x14ac:dyDescent="0.25">
      <c r="A49" s="474">
        <v>38</v>
      </c>
      <c r="B49" s="468" t="s">
        <v>277</v>
      </c>
      <c r="C49" s="472" t="s">
        <v>278</v>
      </c>
      <c r="D49" s="469" t="str">
        <f>'hitung F3'!G224</f>
        <v>Besar dana penelitian (dalam juta rupiah). Besar dana penelitian pada TS-2 = Rp 10 juta, pada TS-1 = Rp 10 juta, dan pada TS = Rp 10 juta. Banyaknya dosen tetap = 27 orang. Rata-rata dana penelitian per dosen tetap per tahun = Rp 000 juta.</v>
      </c>
      <c r="E49" s="470">
        <v>4.2300000000000004</v>
      </c>
      <c r="F49" s="475">
        <f>'hitung F3'!E230</f>
        <v>1.3703703703703702</v>
      </c>
      <c r="G49" s="94"/>
      <c r="H49" s="107">
        <f t="shared" si="0"/>
        <v>5.7966666666666669</v>
      </c>
    </row>
    <row r="50" spans="1:8" ht="51" x14ac:dyDescent="0.25">
      <c r="A50" s="474">
        <v>39</v>
      </c>
      <c r="B50" s="468" t="s">
        <v>166</v>
      </c>
      <c r="C50" s="472" t="s">
        <v>279</v>
      </c>
      <c r="D50" s="469" t="str">
        <f>'hitung F3'!G232</f>
        <v>Upaya pengembangan kegiatan penelitian oleh pihak Fakultas: …</v>
      </c>
      <c r="E50" s="470">
        <v>1.06</v>
      </c>
      <c r="F50" s="475">
        <f>'hitung F3'!E233</f>
        <v>2</v>
      </c>
      <c r="G50" s="94"/>
      <c r="H50" s="107">
        <f t="shared" si="0"/>
        <v>2.12</v>
      </c>
    </row>
    <row r="51" spans="1:8" ht="106.5" customHeight="1" x14ac:dyDescent="0.25">
      <c r="A51" s="474">
        <v>40</v>
      </c>
      <c r="B51" s="468" t="s">
        <v>280</v>
      </c>
      <c r="C51" s="472" t="s">
        <v>281</v>
      </c>
      <c r="D51" s="469" t="str">
        <f>'hitung F3'!G235</f>
        <v>Kegiatan PkM dosen tetap. Jumlah kegiatan PkM pada TS-2 = 1 judul, pada TS-1 = 0 judul, dan pada TS = 0 judul. Banyaknya dosen tetap = 27 orang. Rata-rata jumlah kegiatan PkM per dosen tetap per 3 tahun = 000 judul.</v>
      </c>
      <c r="E51" s="470">
        <v>2.12</v>
      </c>
      <c r="F51" s="475">
        <f>'hitung F3'!E241</f>
        <v>1.2222222222222223</v>
      </c>
      <c r="G51" s="94"/>
      <c r="H51" s="107">
        <f t="shared" si="0"/>
        <v>2.5911111111111116</v>
      </c>
    </row>
    <row r="52" spans="1:8" ht="93.75" customHeight="1" x14ac:dyDescent="0.25">
      <c r="A52" s="474">
        <v>41</v>
      </c>
      <c r="B52" s="468" t="s">
        <v>282</v>
      </c>
      <c r="C52" s="472" t="s">
        <v>283</v>
      </c>
      <c r="D52" s="469" t="str">
        <f>'hitung F3'!G243</f>
        <v>Besar dana PkM. Besar dana PkM pada TS-2 = Rp 0 juta, pada TS-1 = Rp 10 juta, dan pada TS = Rp 0 juta. Banyaknya dosen tetap = 27 orang. Rata-rata dana PkM per dosen per tahun = Rp 000 juta.</v>
      </c>
      <c r="E52" s="470">
        <v>2.12</v>
      </c>
      <c r="F52" s="475">
        <f>'hitung F3'!E249</f>
        <v>1.2469135802469136</v>
      </c>
      <c r="G52" s="94"/>
      <c r="H52" s="107">
        <f t="shared" si="0"/>
        <v>2.6434567901234569</v>
      </c>
    </row>
    <row r="53" spans="1:8" ht="48.75" customHeight="1" x14ac:dyDescent="0.25">
      <c r="A53" s="474">
        <v>42</v>
      </c>
      <c r="B53" s="468" t="s">
        <v>174</v>
      </c>
      <c r="C53" s="472" t="s">
        <v>284</v>
      </c>
      <c r="D53" s="469" t="str">
        <f>'hitung F3'!G251</f>
        <v>Upaya pengembangan kegiatan PkM: …</v>
      </c>
      <c r="E53" s="470">
        <v>1.06</v>
      </c>
      <c r="F53" s="475">
        <f>'hitung F3'!E252</f>
        <v>2</v>
      </c>
      <c r="G53" s="94"/>
      <c r="H53" s="107">
        <f t="shared" si="0"/>
        <v>2.12</v>
      </c>
    </row>
    <row r="54" spans="1:8" ht="51" x14ac:dyDescent="0.25">
      <c r="A54" s="474">
        <v>43</v>
      </c>
      <c r="B54" s="468" t="s">
        <v>176</v>
      </c>
      <c r="C54" s="472" t="s">
        <v>285</v>
      </c>
      <c r="D54" s="469" t="str">
        <f>'hitung F3'!G254</f>
        <v>Kegiatan kerjasama dengan instansi di DN dalam tiga tahun terakhir: …</v>
      </c>
      <c r="E54" s="470">
        <v>2.12</v>
      </c>
      <c r="F54" s="475">
        <f>'hitung F3'!E255</f>
        <v>0</v>
      </c>
      <c r="G54" s="94"/>
      <c r="H54" s="107">
        <f t="shared" si="0"/>
        <v>0</v>
      </c>
    </row>
    <row r="55" spans="1:8" ht="51.75" thickBot="1" x14ac:dyDescent="0.3">
      <c r="A55" s="476">
        <v>44</v>
      </c>
      <c r="B55" s="477" t="s">
        <v>178</v>
      </c>
      <c r="C55" s="478" t="s">
        <v>286</v>
      </c>
      <c r="D55" s="479" t="str">
        <f>'hitung F3'!G257</f>
        <v>Kegiatan kerjasama dengan instansi di LN dalam tiga tahun terakhir: …</v>
      </c>
      <c r="E55" s="480">
        <v>2.12</v>
      </c>
      <c r="F55" s="481">
        <f>'hitung F3'!E258</f>
        <v>0</v>
      </c>
      <c r="G55" s="94"/>
      <c r="H55" s="107">
        <f t="shared" si="0"/>
        <v>0</v>
      </c>
    </row>
    <row r="56" spans="1:8" ht="15.75" x14ac:dyDescent="0.25">
      <c r="A56" s="103" t="s">
        <v>180</v>
      </c>
      <c r="B56" s="97"/>
      <c r="C56" s="98"/>
      <c r="D56" s="94"/>
      <c r="E56" s="99"/>
      <c r="F56" s="99"/>
      <c r="G56" s="94"/>
      <c r="H56" s="94"/>
    </row>
    <row r="57" spans="1:8" ht="15.75" x14ac:dyDescent="0.25">
      <c r="A57" s="100"/>
      <c r="B57" s="97"/>
      <c r="C57" s="344"/>
      <c r="D57" s="343" t="str">
        <f>'F 1'!D115</f>
        <v>Jakarta, 15 Juni 2010</v>
      </c>
      <c r="E57" s="344"/>
      <c r="F57" s="99"/>
      <c r="G57" s="94"/>
      <c r="H57" s="94"/>
    </row>
    <row r="58" spans="1:8" ht="15" customHeight="1" x14ac:dyDescent="0.25">
      <c r="A58" s="97"/>
      <c r="B58" s="97"/>
      <c r="D58" s="344"/>
      <c r="E58" s="94"/>
      <c r="F58" s="99"/>
      <c r="G58" s="94"/>
      <c r="H58" s="94"/>
    </row>
    <row r="59" spans="1:8" ht="15.75" x14ac:dyDescent="0.25">
      <c r="A59" s="100"/>
      <c r="B59" s="97"/>
      <c r="D59" s="466" t="str">
        <f>'F 1'!D117:F117</f>
        <v>Nama Asesor : Dr. I G. P. Purnaba, DEA</v>
      </c>
      <c r="E59" s="345"/>
      <c r="F59" s="111"/>
      <c r="G59" s="120"/>
      <c r="H59" s="120"/>
    </row>
    <row r="60" spans="1:8" s="25" customFormat="1" ht="15.75" x14ac:dyDescent="0.25">
      <c r="A60" s="100"/>
      <c r="B60" s="97"/>
      <c r="C60" s="27"/>
      <c r="D60" s="338"/>
      <c r="E60" s="345"/>
      <c r="F60" s="111"/>
      <c r="G60" s="120"/>
      <c r="H60" s="120"/>
    </row>
    <row r="61" spans="1:8" ht="15.75" x14ac:dyDescent="0.25">
      <c r="A61" s="100"/>
      <c r="B61" s="97"/>
      <c r="D61" s="344"/>
      <c r="E61" s="344"/>
      <c r="F61" s="111"/>
      <c r="G61" s="120"/>
      <c r="H61" s="120"/>
    </row>
    <row r="62" spans="1:8" x14ac:dyDescent="0.25">
      <c r="A62" s="104"/>
      <c r="B62" s="104"/>
      <c r="D62" s="105" t="str">
        <f>'F 1'!D120</f>
        <v>Tanda Tangan :</v>
      </c>
      <c r="E62" s="98"/>
      <c r="F62" s="112"/>
      <c r="G62" s="120"/>
      <c r="H62" s="120"/>
    </row>
    <row r="63" spans="1:8" x14ac:dyDescent="0.25">
      <c r="A63" s="104"/>
      <c r="B63" s="104"/>
      <c r="E63" s="112"/>
      <c r="F63" s="112"/>
      <c r="G63" s="120"/>
      <c r="H63" s="120"/>
    </row>
    <row r="64" spans="1:8" x14ac:dyDescent="0.25">
      <c r="A64" s="5"/>
      <c r="B64" s="11"/>
      <c r="C64" s="31"/>
      <c r="D64" s="31"/>
      <c r="E64" s="15"/>
      <c r="F64" s="15"/>
      <c r="G64" s="14"/>
      <c r="H64" s="14"/>
    </row>
    <row r="65" spans="1:8" x14ac:dyDescent="0.25">
      <c r="A65" s="18"/>
      <c r="B65" s="19"/>
      <c r="C65" s="31"/>
      <c r="D65" s="31"/>
      <c r="E65" s="15"/>
      <c r="F65" s="15"/>
      <c r="G65" s="14"/>
      <c r="H65" s="14"/>
    </row>
    <row r="66" spans="1:8" x14ac:dyDescent="0.25">
      <c r="A66" s="18"/>
      <c r="B66" s="18"/>
      <c r="E66" s="41"/>
      <c r="F66" s="24"/>
      <c r="G66" s="14"/>
      <c r="H66" s="14"/>
    </row>
    <row r="67" spans="1:8" x14ac:dyDescent="0.25">
      <c r="A67" s="18"/>
      <c r="B67" s="18"/>
      <c r="E67" s="41"/>
      <c r="F67" s="24"/>
      <c r="G67" s="14"/>
      <c r="H67" s="14"/>
    </row>
    <row r="68" spans="1:8" x14ac:dyDescent="0.25">
      <c r="A68" s="13"/>
      <c r="B68" s="13"/>
      <c r="C68" s="29"/>
      <c r="D68" s="13"/>
      <c r="E68" s="15"/>
      <c r="F68" s="15"/>
      <c r="G68" s="14"/>
      <c r="H68" s="14"/>
    </row>
    <row r="69" spans="1:8" x14ac:dyDescent="0.25">
      <c r="A69" s="13"/>
      <c r="B69" s="13"/>
      <c r="D69" s="39"/>
      <c r="E69" s="15"/>
      <c r="F69" s="15"/>
      <c r="G69" s="14"/>
      <c r="H69" s="14"/>
    </row>
    <row r="70" spans="1:8" x14ac:dyDescent="0.25">
      <c r="A70" s="16"/>
      <c r="B70" s="16"/>
      <c r="C70" s="39"/>
      <c r="D70" s="39"/>
      <c r="E70" s="41"/>
      <c r="F70" s="24"/>
      <c r="G70" s="14"/>
      <c r="H70" s="14"/>
    </row>
    <row r="71" spans="1:8" x14ac:dyDescent="0.25">
      <c r="A71" s="16"/>
      <c r="B71" s="16"/>
      <c r="C71" s="39"/>
      <c r="D71" s="39"/>
      <c r="E71" s="41"/>
      <c r="F71" s="24"/>
      <c r="G71" s="14"/>
      <c r="H71" s="14"/>
    </row>
    <row r="72" spans="1:8" x14ac:dyDescent="0.25">
      <c r="A72" s="13"/>
      <c r="B72" s="13"/>
      <c r="C72" s="39"/>
      <c r="D72" s="39"/>
      <c r="E72" s="15"/>
      <c r="F72" s="15"/>
      <c r="G72" s="14"/>
      <c r="H72" s="14"/>
    </row>
    <row r="73" spans="1:8" x14ac:dyDescent="0.25">
      <c r="A73" s="16"/>
      <c r="B73" s="16"/>
      <c r="C73" s="39"/>
      <c r="D73" s="39"/>
      <c r="E73" s="41"/>
      <c r="F73" s="24"/>
      <c r="G73" s="14"/>
      <c r="H73" s="14"/>
    </row>
    <row r="74" spans="1:8" x14ac:dyDescent="0.25">
      <c r="A74" s="16"/>
      <c r="B74" s="16"/>
      <c r="C74" s="39"/>
      <c r="D74" s="39"/>
      <c r="E74" s="41"/>
      <c r="F74" s="24"/>
      <c r="G74" s="14"/>
      <c r="H74" s="14"/>
    </row>
    <row r="75" spans="1:8" x14ac:dyDescent="0.25">
      <c r="A75" s="13"/>
      <c r="B75" s="13"/>
      <c r="C75" s="29"/>
      <c r="D75" s="13"/>
      <c r="E75" s="15"/>
      <c r="F75" s="15"/>
      <c r="G75" s="14"/>
      <c r="H75" s="14"/>
    </row>
    <row r="76" spans="1:8" x14ac:dyDescent="0.25">
      <c r="A76" s="16"/>
      <c r="B76" s="16"/>
      <c r="C76" s="28"/>
      <c r="D76" s="23"/>
      <c r="E76" s="41"/>
      <c r="F76" s="24"/>
      <c r="G76" s="14"/>
      <c r="H76" s="14"/>
    </row>
    <row r="77" spans="1:8" x14ac:dyDescent="0.25">
      <c r="A77" s="16"/>
      <c r="B77" s="16"/>
      <c r="C77" s="28"/>
      <c r="D77" s="23"/>
      <c r="E77" s="41"/>
      <c r="F77" s="24"/>
      <c r="G77" s="14"/>
      <c r="H77" s="14"/>
    </row>
    <row r="78" spans="1:8" x14ac:dyDescent="0.25">
      <c r="A78" s="13"/>
      <c r="B78" s="13"/>
      <c r="C78" s="29"/>
      <c r="D78" s="13"/>
      <c r="E78" s="15"/>
      <c r="F78" s="15"/>
      <c r="G78" s="14"/>
      <c r="H78" s="14"/>
    </row>
    <row r="79" spans="1:8" x14ac:dyDescent="0.25">
      <c r="A79" s="13"/>
      <c r="B79" s="13"/>
      <c r="C79" s="29"/>
      <c r="D79" s="13"/>
      <c r="E79" s="15"/>
      <c r="F79" s="15"/>
      <c r="G79" s="14"/>
      <c r="H79" s="14"/>
    </row>
    <row r="80" spans="1:8" ht="15.75" x14ac:dyDescent="0.25">
      <c r="A80" s="26"/>
      <c r="B80" s="13"/>
      <c r="C80" s="29"/>
      <c r="D80" s="13"/>
      <c r="E80" s="15"/>
      <c r="F80" s="15"/>
      <c r="G80" s="14"/>
      <c r="H80" s="14"/>
    </row>
    <row r="81" spans="1:9" ht="15.75" x14ac:dyDescent="0.25">
      <c r="A81" s="26"/>
      <c r="B81" s="13"/>
      <c r="C81" s="29"/>
      <c r="D81" s="13"/>
      <c r="E81" s="15"/>
      <c r="F81" s="15"/>
      <c r="G81" s="14"/>
      <c r="H81" s="14"/>
    </row>
    <row r="82" spans="1:9" ht="15.75" x14ac:dyDescent="0.25">
      <c r="A82" s="13"/>
      <c r="B82" s="13"/>
      <c r="C82" s="29"/>
      <c r="D82" s="13"/>
      <c r="E82" s="15"/>
      <c r="F82" s="15"/>
      <c r="G82" s="14"/>
      <c r="H82" s="14"/>
      <c r="I82" s="2"/>
    </row>
    <row r="83" spans="1:9" ht="15.75" x14ac:dyDescent="0.25">
      <c r="A83" s="26"/>
      <c r="B83" s="13"/>
      <c r="C83" s="29"/>
      <c r="D83" s="13"/>
      <c r="E83" s="15"/>
      <c r="F83" s="15"/>
      <c r="G83" s="14"/>
      <c r="H83" s="14"/>
    </row>
    <row r="84" spans="1:9" ht="15.75" x14ac:dyDescent="0.25">
      <c r="A84" s="26"/>
      <c r="B84" s="13"/>
      <c r="C84" s="29"/>
      <c r="D84" s="13"/>
      <c r="E84" s="15"/>
      <c r="F84" s="15"/>
      <c r="G84" s="14"/>
      <c r="H84" s="14"/>
    </row>
    <row r="85" spans="1:9" ht="15" customHeight="1" x14ac:dyDescent="0.25">
      <c r="A85" s="12"/>
      <c r="B85" s="12"/>
      <c r="C85" s="30"/>
      <c r="D85" s="12"/>
      <c r="E85" s="24"/>
      <c r="F85" s="15"/>
      <c r="G85" s="14"/>
      <c r="H85" s="14"/>
    </row>
    <row r="86" spans="1:9" x14ac:dyDescent="0.25">
      <c r="A86" s="12"/>
      <c r="B86" s="12"/>
      <c r="C86" s="30"/>
      <c r="D86" s="12"/>
      <c r="E86" s="24"/>
      <c r="F86" s="15"/>
      <c r="G86" s="14"/>
      <c r="H86" s="14"/>
    </row>
    <row r="87" spans="1:9" x14ac:dyDescent="0.25">
      <c r="A87" s="12"/>
      <c r="B87" s="12"/>
      <c r="C87" s="30"/>
      <c r="D87" s="12"/>
      <c r="E87" s="24"/>
      <c r="F87" s="15"/>
      <c r="G87" s="14"/>
      <c r="H87" s="14"/>
    </row>
    <row r="88" spans="1:9" ht="15" customHeight="1" x14ac:dyDescent="0.25">
      <c r="A88" s="12"/>
      <c r="B88" s="12"/>
      <c r="C88" s="30"/>
      <c r="D88" s="12"/>
      <c r="E88" s="24"/>
      <c r="F88" s="15"/>
      <c r="G88" s="14"/>
      <c r="H88" s="14"/>
    </row>
    <row r="89" spans="1:9" x14ac:dyDescent="0.25">
      <c r="A89" s="12"/>
      <c r="B89" s="12"/>
      <c r="C89" s="30"/>
      <c r="D89" s="12"/>
      <c r="E89" s="24"/>
      <c r="F89" s="15"/>
      <c r="G89" s="14"/>
      <c r="H89" s="14"/>
    </row>
    <row r="90" spans="1:9" x14ac:dyDescent="0.25">
      <c r="A90" s="12"/>
      <c r="B90" s="12"/>
      <c r="C90" s="30"/>
      <c r="D90" s="12"/>
      <c r="E90" s="24"/>
      <c r="F90" s="15"/>
      <c r="G90" s="14"/>
      <c r="H90" s="14"/>
    </row>
  </sheetData>
  <sheetProtection selectLockedCells="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2"/>
  <sheetViews>
    <sheetView topLeftCell="A229" zoomScale="90" zoomScaleNormal="90" workbookViewId="0">
      <selection activeCell="E257" sqref="E257"/>
    </sheetView>
  </sheetViews>
  <sheetFormatPr defaultRowHeight="15" x14ac:dyDescent="0.25"/>
  <cols>
    <col min="1" max="1" width="10" customWidth="1"/>
    <col min="2" max="2" width="10.85546875" customWidth="1"/>
    <col min="4" max="4" width="68.42578125" customWidth="1"/>
    <col min="5" max="5" width="11.42578125" customWidth="1"/>
    <col min="6" max="6" width="10.85546875" customWidth="1"/>
    <col min="7" max="7" width="29.85546875" customWidth="1"/>
  </cols>
  <sheetData>
    <row r="1" spans="1:7" ht="26.25" x14ac:dyDescent="0.4">
      <c r="A1" s="546" t="s">
        <v>429</v>
      </c>
      <c r="B1" s="546"/>
      <c r="C1" s="546"/>
      <c r="D1" s="546"/>
      <c r="E1" s="546"/>
      <c r="F1" s="77"/>
    </row>
    <row r="2" spans="1:7" ht="15.75" thickBot="1" x14ac:dyDescent="0.3">
      <c r="A2" s="77"/>
      <c r="B2" s="77"/>
      <c r="C2" s="77"/>
      <c r="D2" s="77"/>
      <c r="E2" s="77"/>
      <c r="F2" s="77"/>
    </row>
    <row r="3" spans="1:7" ht="81.75" thickBot="1" x14ac:dyDescent="0.3">
      <c r="A3" s="272" t="s">
        <v>523</v>
      </c>
      <c r="B3" s="273" t="s">
        <v>464</v>
      </c>
      <c r="C3" s="591" t="s">
        <v>557</v>
      </c>
      <c r="D3" s="591"/>
      <c r="E3" s="312" t="s">
        <v>558</v>
      </c>
      <c r="F3" s="77"/>
      <c r="G3" s="309" t="s">
        <v>907</v>
      </c>
    </row>
    <row r="4" spans="1:7" s="25" customFormat="1" ht="33" customHeight="1" thickBot="1" x14ac:dyDescent="0.3">
      <c r="A4" s="295">
        <v>1</v>
      </c>
      <c r="B4" s="295" t="s">
        <v>226</v>
      </c>
      <c r="C4" s="587" t="s">
        <v>892</v>
      </c>
      <c r="D4" s="588"/>
      <c r="E4" s="293">
        <v>1</v>
      </c>
      <c r="F4" s="131"/>
      <c r="G4" s="152" t="s">
        <v>1023</v>
      </c>
    </row>
    <row r="5" spans="1:7" s="25" customFormat="1" ht="34.5" customHeight="1" x14ac:dyDescent="0.25">
      <c r="A5" s="295"/>
      <c r="B5" s="295"/>
      <c r="C5" s="319">
        <v>1</v>
      </c>
      <c r="D5" s="358" t="s">
        <v>574</v>
      </c>
      <c r="E5" s="316"/>
      <c r="F5" s="131"/>
      <c r="G5" s="182"/>
    </row>
    <row r="6" spans="1:7" s="25" customFormat="1" ht="33" customHeight="1" x14ac:dyDescent="0.25">
      <c r="A6" s="295"/>
      <c r="B6" s="295"/>
      <c r="C6" s="319">
        <v>2</v>
      </c>
      <c r="D6" s="358" t="s">
        <v>575</v>
      </c>
      <c r="E6" s="316"/>
      <c r="F6" s="131"/>
      <c r="G6" s="182"/>
    </row>
    <row r="7" spans="1:7" s="25" customFormat="1" ht="21" customHeight="1" x14ac:dyDescent="0.25">
      <c r="A7" s="295"/>
      <c r="B7" s="295"/>
      <c r="C7" s="319">
        <v>3</v>
      </c>
      <c r="D7" s="358" t="s">
        <v>576</v>
      </c>
      <c r="E7" s="316"/>
      <c r="F7" s="131"/>
      <c r="G7" s="182"/>
    </row>
    <row r="8" spans="1:7" s="25" customFormat="1" ht="32.25" customHeight="1" x14ac:dyDescent="0.25">
      <c r="A8" s="295"/>
      <c r="B8" s="295"/>
      <c r="C8" s="319">
        <v>4</v>
      </c>
      <c r="D8" s="358" t="s">
        <v>577</v>
      </c>
      <c r="E8" s="316"/>
      <c r="F8" s="131"/>
      <c r="G8" s="182"/>
    </row>
    <row r="9" spans="1:7" s="25" customFormat="1" ht="18.75" thickBot="1" x14ac:dyDescent="0.3">
      <c r="A9" s="295"/>
      <c r="B9" s="295"/>
      <c r="C9" s="577" t="s">
        <v>311</v>
      </c>
      <c r="D9" s="578"/>
      <c r="E9" s="294">
        <f>IF(E4&lt;0, "Salah Isi", IF(E4&lt;1, 1, IF(E4&lt;=4, E4, "Salah Isi")))</f>
        <v>1</v>
      </c>
      <c r="F9" s="131"/>
      <c r="G9" s="155"/>
    </row>
    <row r="10" spans="1:7" s="25" customFormat="1" ht="18.75" thickBot="1" x14ac:dyDescent="0.3">
      <c r="A10" s="295"/>
      <c r="B10" s="295"/>
      <c r="C10" s="131"/>
      <c r="D10" s="131"/>
      <c r="E10" s="295"/>
      <c r="F10" s="131"/>
      <c r="G10" s="155"/>
    </row>
    <row r="11" spans="1:7" s="25" customFormat="1" ht="36" customHeight="1" thickBot="1" x14ac:dyDescent="0.3">
      <c r="A11" s="295">
        <v>2</v>
      </c>
      <c r="B11" s="295" t="s">
        <v>228</v>
      </c>
      <c r="C11" s="594" t="s">
        <v>9</v>
      </c>
      <c r="D11" s="595"/>
      <c r="E11" s="293">
        <v>0</v>
      </c>
      <c r="F11" s="131"/>
      <c r="G11" s="152" t="s">
        <v>1024</v>
      </c>
    </row>
    <row r="12" spans="1:7" s="25" customFormat="1" ht="35.25" customHeight="1" x14ac:dyDescent="0.25">
      <c r="A12" s="295"/>
      <c r="B12" s="295"/>
      <c r="C12" s="308">
        <v>1</v>
      </c>
      <c r="D12" s="318" t="s">
        <v>579</v>
      </c>
      <c r="E12" s="316"/>
      <c r="F12" s="131"/>
      <c r="G12" s="182"/>
    </row>
    <row r="13" spans="1:7" s="25" customFormat="1" ht="32.25" customHeight="1" x14ac:dyDescent="0.25">
      <c r="A13" s="295"/>
      <c r="B13" s="295"/>
      <c r="C13" s="308">
        <v>2</v>
      </c>
      <c r="D13" s="318" t="s">
        <v>580</v>
      </c>
      <c r="E13" s="316"/>
      <c r="F13" s="131"/>
      <c r="G13" s="182"/>
    </row>
    <row r="14" spans="1:7" s="25" customFormat="1" ht="33.75" customHeight="1" x14ac:dyDescent="0.25">
      <c r="A14" s="295"/>
      <c r="B14" s="295"/>
      <c r="C14" s="308">
        <v>3</v>
      </c>
      <c r="D14" s="318" t="s">
        <v>581</v>
      </c>
      <c r="E14" s="316"/>
      <c r="F14" s="131"/>
      <c r="G14" s="182"/>
    </row>
    <row r="15" spans="1:7" s="25" customFormat="1" ht="34.5" customHeight="1" x14ac:dyDescent="0.25">
      <c r="A15" s="295"/>
      <c r="B15" s="295"/>
      <c r="C15" s="308">
        <v>4</v>
      </c>
      <c r="D15" s="318" t="s">
        <v>582</v>
      </c>
      <c r="E15" s="316"/>
      <c r="F15" s="131"/>
      <c r="G15" s="182"/>
    </row>
    <row r="16" spans="1:7" s="25" customFormat="1" ht="18.75" thickBot="1" x14ac:dyDescent="0.3">
      <c r="A16" s="295"/>
      <c r="B16" s="295"/>
      <c r="C16" s="275" t="s">
        <v>311</v>
      </c>
      <c r="D16" s="276"/>
      <c r="E16" s="294">
        <f>IF(E11&lt;0, "Salah Isi", IF(E11&lt;1, 1, IF(E11&lt;=4, E11, "Salah Isi")))</f>
        <v>1</v>
      </c>
      <c r="F16" s="131"/>
      <c r="G16" s="155"/>
    </row>
    <row r="17" spans="1:7" s="25" customFormat="1" ht="18.75" thickBot="1" x14ac:dyDescent="0.3">
      <c r="A17" s="295"/>
      <c r="B17" s="295"/>
      <c r="C17" s="131"/>
      <c r="D17" s="131"/>
      <c r="E17" s="295"/>
      <c r="F17" s="131"/>
      <c r="G17" s="155"/>
    </row>
    <row r="18" spans="1:7" s="25" customFormat="1" ht="18.75" thickBot="1" x14ac:dyDescent="0.3">
      <c r="A18" s="295">
        <v>3</v>
      </c>
      <c r="B18" s="295" t="s">
        <v>524</v>
      </c>
      <c r="C18" s="277" t="s">
        <v>528</v>
      </c>
      <c r="D18" s="274"/>
      <c r="E18" s="293">
        <v>0</v>
      </c>
      <c r="F18" s="131"/>
      <c r="G18" s="152" t="s">
        <v>1025</v>
      </c>
    </row>
    <row r="19" spans="1:7" s="25" customFormat="1" ht="30.75" x14ac:dyDescent="0.25">
      <c r="A19" s="295"/>
      <c r="B19" s="295"/>
      <c r="C19" s="321">
        <v>1</v>
      </c>
      <c r="D19" s="322" t="s">
        <v>583</v>
      </c>
      <c r="E19" s="316"/>
      <c r="F19" s="131"/>
      <c r="G19" s="182"/>
    </row>
    <row r="20" spans="1:7" s="25" customFormat="1" ht="30.75" x14ac:dyDescent="0.25">
      <c r="A20" s="295"/>
      <c r="B20" s="295"/>
      <c r="C20" s="321">
        <v>2</v>
      </c>
      <c r="D20" s="322" t="s">
        <v>584</v>
      </c>
      <c r="E20" s="316"/>
      <c r="F20" s="131"/>
      <c r="G20" s="182"/>
    </row>
    <row r="21" spans="1:7" s="25" customFormat="1" ht="30.75" x14ac:dyDescent="0.25">
      <c r="A21" s="295"/>
      <c r="B21" s="295"/>
      <c r="C21" s="321">
        <v>3</v>
      </c>
      <c r="D21" s="322" t="s">
        <v>585</v>
      </c>
      <c r="E21" s="316"/>
      <c r="F21" s="131"/>
      <c r="G21" s="182"/>
    </row>
    <row r="22" spans="1:7" s="25" customFormat="1" ht="30.75" x14ac:dyDescent="0.25">
      <c r="A22" s="295"/>
      <c r="B22" s="295"/>
      <c r="C22" s="321">
        <v>4</v>
      </c>
      <c r="D22" s="322" t="s">
        <v>586</v>
      </c>
      <c r="E22" s="316"/>
      <c r="F22" s="131"/>
      <c r="G22" s="182"/>
    </row>
    <row r="23" spans="1:7" s="25" customFormat="1" ht="18.75" thickBot="1" x14ac:dyDescent="0.3">
      <c r="A23" s="295"/>
      <c r="B23" s="295"/>
      <c r="C23" s="575" t="s">
        <v>311</v>
      </c>
      <c r="D23" s="576"/>
      <c r="E23" s="294">
        <f>IF(E18&lt;0, "Salah Isi", IF(E18&lt;1, 1, IF(E18&lt;=4, E18, "Salah Isi")))</f>
        <v>1</v>
      </c>
      <c r="F23" s="131"/>
      <c r="G23" s="155"/>
    </row>
    <row r="24" spans="1:7" s="25" customFormat="1" ht="18.75" thickBot="1" x14ac:dyDescent="0.3">
      <c r="A24" s="295"/>
      <c r="B24" s="295"/>
      <c r="C24" s="131"/>
      <c r="D24" s="131"/>
      <c r="E24" s="295"/>
      <c r="F24" s="131"/>
      <c r="G24" s="155"/>
    </row>
    <row r="25" spans="1:7" s="25" customFormat="1" ht="50.25" customHeight="1" thickBot="1" x14ac:dyDescent="0.3">
      <c r="A25" s="295">
        <v>4</v>
      </c>
      <c r="B25" s="295" t="s">
        <v>525</v>
      </c>
      <c r="C25" s="587" t="s">
        <v>11</v>
      </c>
      <c r="D25" s="588"/>
      <c r="E25" s="293">
        <v>0</v>
      </c>
      <c r="F25" s="131"/>
      <c r="G25" s="152" t="s">
        <v>1026</v>
      </c>
    </row>
    <row r="26" spans="1:7" s="25" customFormat="1" ht="47.25" customHeight="1" x14ac:dyDescent="0.25">
      <c r="A26" s="295"/>
      <c r="B26" s="295"/>
      <c r="C26" s="319">
        <v>1</v>
      </c>
      <c r="D26" s="320" t="s">
        <v>590</v>
      </c>
      <c r="E26" s="316"/>
      <c r="F26" s="131"/>
      <c r="G26" s="182"/>
    </row>
    <row r="27" spans="1:7" s="25" customFormat="1" ht="76.5" customHeight="1" x14ac:dyDescent="0.25">
      <c r="A27" s="295"/>
      <c r="B27" s="295"/>
      <c r="C27" s="319">
        <v>2</v>
      </c>
      <c r="D27" s="320" t="s">
        <v>587</v>
      </c>
      <c r="E27" s="316"/>
      <c r="F27" s="131"/>
      <c r="G27" s="182"/>
    </row>
    <row r="28" spans="1:7" s="25" customFormat="1" ht="76.5" customHeight="1" x14ac:dyDescent="0.25">
      <c r="A28" s="295"/>
      <c r="B28" s="295"/>
      <c r="C28" s="319">
        <v>3</v>
      </c>
      <c r="D28" s="320" t="s">
        <v>588</v>
      </c>
      <c r="E28" s="316"/>
      <c r="F28" s="131"/>
      <c r="G28" s="182"/>
    </row>
    <row r="29" spans="1:7" s="25" customFormat="1" ht="78.75" customHeight="1" x14ac:dyDescent="0.25">
      <c r="A29" s="295"/>
      <c r="B29" s="295"/>
      <c r="C29" s="319">
        <v>4</v>
      </c>
      <c r="D29" s="320" t="s">
        <v>589</v>
      </c>
      <c r="E29" s="316"/>
      <c r="F29" s="131"/>
      <c r="G29" s="182"/>
    </row>
    <row r="30" spans="1:7" s="25" customFormat="1" ht="18.75" thickBot="1" x14ac:dyDescent="0.3">
      <c r="A30" s="295"/>
      <c r="B30" s="295"/>
      <c r="C30" s="575" t="s">
        <v>311</v>
      </c>
      <c r="D30" s="576"/>
      <c r="E30" s="294">
        <f>IF(E25&lt;0, "Salah Isi", IF(E25&lt;=4, E25, "Salah Isi"))</f>
        <v>0</v>
      </c>
      <c r="F30" s="131"/>
      <c r="G30" s="155"/>
    </row>
    <row r="31" spans="1:7" s="25" customFormat="1" ht="18.75" thickBot="1" x14ac:dyDescent="0.3">
      <c r="A31" s="295"/>
      <c r="B31" s="295"/>
      <c r="C31" s="280"/>
      <c r="D31" s="280"/>
      <c r="E31" s="296"/>
      <c r="F31" s="131"/>
      <c r="G31" s="155"/>
    </row>
    <row r="32" spans="1:7" s="25" customFormat="1" ht="18.75" thickBot="1" x14ac:dyDescent="0.3">
      <c r="A32" s="295">
        <v>5</v>
      </c>
      <c r="B32" s="295" t="s">
        <v>526</v>
      </c>
      <c r="C32" s="281" t="s">
        <v>561</v>
      </c>
      <c r="D32" s="279"/>
      <c r="E32" s="293">
        <v>0</v>
      </c>
      <c r="F32" s="131"/>
      <c r="G32" s="152" t="s">
        <v>1027</v>
      </c>
    </row>
    <row r="33" spans="1:7" s="25" customFormat="1" ht="21.75" customHeight="1" x14ac:dyDescent="0.25">
      <c r="A33" s="295"/>
      <c r="B33" s="295"/>
      <c r="C33" s="324">
        <v>1</v>
      </c>
      <c r="D33" s="323" t="s">
        <v>909</v>
      </c>
      <c r="E33" s="316"/>
      <c r="F33" s="131"/>
      <c r="G33" s="182"/>
    </row>
    <row r="34" spans="1:7" s="25" customFormat="1" ht="30.75" customHeight="1" x14ac:dyDescent="0.25">
      <c r="A34" s="295"/>
      <c r="B34" s="295"/>
      <c r="C34" s="324">
        <v>2</v>
      </c>
      <c r="D34" s="323" t="s">
        <v>910</v>
      </c>
      <c r="E34" s="316"/>
      <c r="F34" s="131"/>
      <c r="G34" s="182"/>
    </row>
    <row r="35" spans="1:7" s="25" customFormat="1" ht="30" x14ac:dyDescent="0.25">
      <c r="A35" s="295"/>
      <c r="B35" s="295"/>
      <c r="C35" s="324">
        <v>3</v>
      </c>
      <c r="D35" s="323" t="s">
        <v>911</v>
      </c>
      <c r="E35" s="316"/>
      <c r="F35" s="131"/>
      <c r="G35" s="182"/>
    </row>
    <row r="36" spans="1:7" s="25" customFormat="1" ht="30" x14ac:dyDescent="0.25">
      <c r="A36" s="295"/>
      <c r="B36" s="295"/>
      <c r="C36" s="324">
        <v>4</v>
      </c>
      <c r="D36" s="323" t="s">
        <v>912</v>
      </c>
      <c r="E36" s="316"/>
      <c r="F36" s="131"/>
      <c r="G36" s="182"/>
    </row>
    <row r="37" spans="1:7" s="25" customFormat="1" ht="18.75" thickBot="1" x14ac:dyDescent="0.3">
      <c r="A37" s="295"/>
      <c r="B37" s="295"/>
      <c r="C37" s="575" t="s">
        <v>311</v>
      </c>
      <c r="D37" s="576"/>
      <c r="E37" s="294">
        <f>IF(E32&lt;0, "Salah Isi", IF(E32&lt;1, 1, IF(E32&lt;=4, E32, "Salah Isi")))</f>
        <v>1</v>
      </c>
      <c r="F37" s="131"/>
      <c r="G37" s="155"/>
    </row>
    <row r="38" spans="1:7" s="25" customFormat="1" ht="18.75" thickBot="1" x14ac:dyDescent="0.3">
      <c r="A38" s="295"/>
      <c r="B38" s="295"/>
      <c r="C38" s="280"/>
      <c r="D38" s="280"/>
      <c r="E38" s="296"/>
      <c r="F38" s="131"/>
      <c r="G38" s="155"/>
    </row>
    <row r="39" spans="1:7" s="25" customFormat="1" ht="18.75" thickBot="1" x14ac:dyDescent="0.3">
      <c r="A39" s="295">
        <v>6</v>
      </c>
      <c r="B39" s="295" t="s">
        <v>529</v>
      </c>
      <c r="C39" s="278" t="s">
        <v>527</v>
      </c>
      <c r="D39" s="279"/>
      <c r="E39" s="293">
        <v>0</v>
      </c>
      <c r="F39" s="131"/>
      <c r="G39" s="152" t="s">
        <v>1032</v>
      </c>
    </row>
    <row r="40" spans="1:7" s="25" customFormat="1" ht="50.25" customHeight="1" x14ac:dyDescent="0.25">
      <c r="A40" s="295"/>
      <c r="B40" s="295"/>
      <c r="C40" s="308">
        <v>1</v>
      </c>
      <c r="D40" s="318" t="s">
        <v>1028</v>
      </c>
      <c r="E40" s="316"/>
      <c r="F40" s="131"/>
      <c r="G40" s="182"/>
    </row>
    <row r="41" spans="1:7" s="25" customFormat="1" ht="63" customHeight="1" x14ac:dyDescent="0.25">
      <c r="A41" s="295"/>
      <c r="B41" s="295"/>
      <c r="C41" s="308">
        <v>2</v>
      </c>
      <c r="D41" s="318" t="s">
        <v>1029</v>
      </c>
      <c r="E41" s="316"/>
      <c r="F41" s="131"/>
      <c r="G41" s="182"/>
    </row>
    <row r="42" spans="1:7" s="25" customFormat="1" ht="52.5" customHeight="1" x14ac:dyDescent="0.25">
      <c r="A42" s="295"/>
      <c r="B42" s="295"/>
      <c r="C42" s="308">
        <v>3</v>
      </c>
      <c r="D42" s="318" t="s">
        <v>1030</v>
      </c>
      <c r="E42" s="316"/>
      <c r="F42" s="131"/>
      <c r="G42" s="182"/>
    </row>
    <row r="43" spans="1:7" s="25" customFormat="1" ht="48.75" customHeight="1" x14ac:dyDescent="0.25">
      <c r="A43" s="295"/>
      <c r="B43" s="295"/>
      <c r="C43" s="308">
        <v>4</v>
      </c>
      <c r="D43" s="318" t="s">
        <v>1031</v>
      </c>
      <c r="E43" s="316"/>
      <c r="F43" s="131"/>
      <c r="G43" s="182"/>
    </row>
    <row r="44" spans="1:7" s="25" customFormat="1" ht="18.75" thickBot="1" x14ac:dyDescent="0.3">
      <c r="A44" s="295"/>
      <c r="B44" s="295"/>
      <c r="C44" s="575" t="s">
        <v>311</v>
      </c>
      <c r="D44" s="576"/>
      <c r="E44" s="294">
        <f>IF(E39&lt;0, "Salah Isi", IF(E39&lt;1, 1, IF(E39&lt;=4, E39, "Salah Isi")))</f>
        <v>1</v>
      </c>
      <c r="F44" s="131"/>
      <c r="G44" s="155"/>
    </row>
    <row r="45" spans="1:7" s="25" customFormat="1" ht="18.75" thickBot="1" x14ac:dyDescent="0.3">
      <c r="A45" s="295"/>
      <c r="B45" s="295"/>
      <c r="C45" s="280"/>
      <c r="D45" s="280"/>
      <c r="E45" s="296"/>
      <c r="F45" s="131"/>
      <c r="G45" s="155"/>
    </row>
    <row r="46" spans="1:7" s="25" customFormat="1" ht="48.75" customHeight="1" thickBot="1" x14ac:dyDescent="0.3">
      <c r="A46" s="295">
        <v>7</v>
      </c>
      <c r="B46" s="295" t="s">
        <v>530</v>
      </c>
      <c r="C46" s="581" t="s">
        <v>895</v>
      </c>
      <c r="D46" s="582"/>
      <c r="E46" s="293">
        <v>0</v>
      </c>
      <c r="F46" s="131"/>
      <c r="G46" s="152" t="s">
        <v>1033</v>
      </c>
    </row>
    <row r="47" spans="1:7" s="25" customFormat="1" ht="21" customHeight="1" x14ac:dyDescent="0.25">
      <c r="A47" s="295"/>
      <c r="B47" s="295"/>
      <c r="C47" s="308">
        <v>0</v>
      </c>
      <c r="D47" s="323" t="s">
        <v>596</v>
      </c>
      <c r="E47" s="316"/>
      <c r="F47" s="131"/>
      <c r="G47" s="182"/>
    </row>
    <row r="48" spans="1:7" s="25" customFormat="1" ht="31.5" customHeight="1" x14ac:dyDescent="0.25">
      <c r="A48" s="295"/>
      <c r="B48" s="295"/>
      <c r="C48" s="308">
        <v>1</v>
      </c>
      <c r="D48" s="323" t="s">
        <v>597</v>
      </c>
      <c r="E48" s="316"/>
      <c r="F48" s="131"/>
      <c r="G48" s="182"/>
    </row>
    <row r="49" spans="1:7" s="25" customFormat="1" ht="47.25" customHeight="1" x14ac:dyDescent="0.25">
      <c r="A49" s="295"/>
      <c r="B49" s="295"/>
      <c r="C49" s="308">
        <v>2</v>
      </c>
      <c r="D49" s="323" t="s">
        <v>598</v>
      </c>
      <c r="E49" s="316"/>
      <c r="F49" s="131"/>
      <c r="G49" s="182"/>
    </row>
    <row r="50" spans="1:7" s="25" customFormat="1" ht="45.75" customHeight="1" x14ac:dyDescent="0.25">
      <c r="A50" s="295"/>
      <c r="B50" s="295"/>
      <c r="C50" s="308">
        <v>3</v>
      </c>
      <c r="D50" s="323" t="s">
        <v>599</v>
      </c>
      <c r="E50" s="316"/>
      <c r="F50" s="131"/>
      <c r="G50" s="182"/>
    </row>
    <row r="51" spans="1:7" s="25" customFormat="1" ht="48.75" customHeight="1" x14ac:dyDescent="0.25">
      <c r="A51" s="295"/>
      <c r="B51" s="295"/>
      <c r="C51" s="308">
        <v>4</v>
      </c>
      <c r="D51" s="323" t="s">
        <v>600</v>
      </c>
      <c r="E51" s="316"/>
      <c r="F51" s="131"/>
      <c r="G51" s="182"/>
    </row>
    <row r="52" spans="1:7" s="25" customFormat="1" ht="18.75" thickBot="1" x14ac:dyDescent="0.3">
      <c r="A52" s="295"/>
      <c r="B52" s="295"/>
      <c r="C52" s="575" t="s">
        <v>311</v>
      </c>
      <c r="D52" s="576"/>
      <c r="E52" s="294">
        <f>IF(E46&lt;0, "Salah Isi", IF(E46&lt;=4, E46, "Salah Isi"))</f>
        <v>0</v>
      </c>
      <c r="F52" s="131"/>
      <c r="G52" s="155"/>
    </row>
    <row r="53" spans="1:7" s="25" customFormat="1" ht="18.75" thickBot="1" x14ac:dyDescent="0.3">
      <c r="A53" s="295"/>
      <c r="B53" s="295"/>
      <c r="C53" s="280"/>
      <c r="D53" s="280"/>
      <c r="E53" s="296"/>
      <c r="F53" s="131"/>
      <c r="G53" s="155"/>
    </row>
    <row r="54" spans="1:7" s="25" customFormat="1" ht="18.75" thickBot="1" x14ac:dyDescent="0.3">
      <c r="A54" s="295">
        <v>8</v>
      </c>
      <c r="B54" s="295" t="s">
        <v>234</v>
      </c>
      <c r="C54" s="282" t="s">
        <v>235</v>
      </c>
      <c r="D54" s="279"/>
      <c r="E54" s="293">
        <v>0</v>
      </c>
      <c r="F54" s="131"/>
      <c r="G54" s="152" t="str">
        <f>C54</f>
        <v>Keberadaan dan efektivitas unit pelaksana penjaminan mutu.</v>
      </c>
    </row>
    <row r="55" spans="1:7" s="25" customFormat="1" ht="18" x14ac:dyDescent="0.25">
      <c r="A55" s="295"/>
      <c r="B55" s="295"/>
      <c r="C55" s="325">
        <v>0</v>
      </c>
      <c r="D55" s="322" t="s">
        <v>913</v>
      </c>
      <c r="E55" s="316"/>
      <c r="F55" s="131"/>
      <c r="G55" s="182"/>
    </row>
    <row r="56" spans="1:7" s="25" customFormat="1" ht="30.75" x14ac:dyDescent="0.25">
      <c r="A56" s="295"/>
      <c r="B56" s="295"/>
      <c r="C56" s="325">
        <v>1</v>
      </c>
      <c r="D56" s="322" t="s">
        <v>914</v>
      </c>
      <c r="E56" s="316"/>
      <c r="F56" s="131"/>
      <c r="G56" s="182"/>
    </row>
    <row r="57" spans="1:7" s="25" customFormat="1" ht="30.75" x14ac:dyDescent="0.25">
      <c r="A57" s="295"/>
      <c r="B57" s="295"/>
      <c r="C57" s="325">
        <v>2</v>
      </c>
      <c r="D57" s="322" t="s">
        <v>915</v>
      </c>
      <c r="E57" s="316"/>
      <c r="F57" s="131"/>
      <c r="G57" s="182"/>
    </row>
    <row r="58" spans="1:7" s="25" customFormat="1" ht="45.75" x14ac:dyDescent="0.25">
      <c r="A58" s="295"/>
      <c r="B58" s="295"/>
      <c r="C58" s="325">
        <v>3</v>
      </c>
      <c r="D58" s="322" t="s">
        <v>916</v>
      </c>
      <c r="E58" s="316"/>
      <c r="F58" s="131"/>
      <c r="G58" s="182"/>
    </row>
    <row r="59" spans="1:7" s="25" customFormat="1" ht="30.75" x14ac:dyDescent="0.25">
      <c r="A59" s="295"/>
      <c r="B59" s="295"/>
      <c r="C59" s="325">
        <v>4</v>
      </c>
      <c r="D59" s="322" t="s">
        <v>917</v>
      </c>
      <c r="E59" s="316"/>
      <c r="F59" s="131"/>
      <c r="G59" s="182"/>
    </row>
    <row r="60" spans="1:7" s="25" customFormat="1" ht="18.75" thickBot="1" x14ac:dyDescent="0.3">
      <c r="A60" s="295"/>
      <c r="B60" s="295"/>
      <c r="C60" s="283" t="s">
        <v>311</v>
      </c>
      <c r="D60" s="284"/>
      <c r="E60" s="294">
        <f>IF(E54&lt;0, "Salah Isi", IF(E54&lt;=4, E54, "Salah Isi"))</f>
        <v>0</v>
      </c>
      <c r="F60" s="131"/>
      <c r="G60" s="155"/>
    </row>
    <row r="61" spans="1:7" s="25" customFormat="1" ht="18.75" thickBot="1" x14ac:dyDescent="0.3">
      <c r="A61" s="295"/>
      <c r="B61" s="295"/>
      <c r="C61" s="280"/>
      <c r="D61" s="280"/>
      <c r="E61" s="296"/>
      <c r="F61" s="131"/>
      <c r="G61" s="155"/>
    </row>
    <row r="62" spans="1:7" s="25" customFormat="1" ht="18.75" thickBot="1" x14ac:dyDescent="0.3">
      <c r="A62" s="295">
        <v>9</v>
      </c>
      <c r="B62" s="295" t="s">
        <v>236</v>
      </c>
      <c r="C62" s="282" t="s">
        <v>1034</v>
      </c>
      <c r="D62" s="279"/>
      <c r="E62" s="293">
        <v>0</v>
      </c>
      <c r="F62" s="131"/>
      <c r="G62" s="152" t="str">
        <f>C62</f>
        <v>Standar mutu dan pelaksanaannya.</v>
      </c>
    </row>
    <row r="63" spans="1:7" s="25" customFormat="1" ht="18" x14ac:dyDescent="0.25">
      <c r="A63" s="295"/>
      <c r="B63" s="295"/>
      <c r="C63" s="325">
        <v>0</v>
      </c>
      <c r="D63" s="322" t="s">
        <v>918</v>
      </c>
      <c r="E63" s="316"/>
      <c r="F63" s="131"/>
      <c r="G63" s="182"/>
    </row>
    <row r="64" spans="1:7" s="25" customFormat="1" ht="18" x14ac:dyDescent="0.25">
      <c r="A64" s="295"/>
      <c r="B64" s="295"/>
      <c r="C64" s="325">
        <v>1</v>
      </c>
      <c r="D64" s="322" t="s">
        <v>919</v>
      </c>
      <c r="E64" s="316"/>
      <c r="F64" s="131"/>
      <c r="G64" s="182"/>
    </row>
    <row r="65" spans="1:7" s="25" customFormat="1" ht="30.75" x14ac:dyDescent="0.25">
      <c r="A65" s="295"/>
      <c r="B65" s="295"/>
      <c r="C65" s="325">
        <v>2</v>
      </c>
      <c r="D65" s="322" t="s">
        <v>920</v>
      </c>
      <c r="E65" s="316"/>
      <c r="F65" s="131"/>
      <c r="G65" s="182"/>
    </row>
    <row r="66" spans="1:7" s="25" customFormat="1" ht="30.75" x14ac:dyDescent="0.25">
      <c r="A66" s="295"/>
      <c r="B66" s="295"/>
      <c r="C66" s="325">
        <v>3</v>
      </c>
      <c r="D66" s="322" t="s">
        <v>921</v>
      </c>
      <c r="E66" s="316"/>
      <c r="F66" s="131"/>
      <c r="G66" s="182"/>
    </row>
    <row r="67" spans="1:7" s="25" customFormat="1" ht="30.75" x14ac:dyDescent="0.25">
      <c r="A67" s="295"/>
      <c r="B67" s="295"/>
      <c r="C67" s="325">
        <v>4</v>
      </c>
      <c r="D67" s="322" t="s">
        <v>922</v>
      </c>
      <c r="E67" s="316"/>
      <c r="F67" s="131"/>
      <c r="G67" s="182"/>
    </row>
    <row r="68" spans="1:7" s="25" customFormat="1" ht="18.75" thickBot="1" x14ac:dyDescent="0.3">
      <c r="A68" s="295"/>
      <c r="B68" s="295"/>
      <c r="C68" s="275" t="s">
        <v>311</v>
      </c>
      <c r="D68" s="276"/>
      <c r="E68" s="294">
        <f>IF(E62&lt;0, "Salah Isi", IF(E62&lt;=4, E62, "Salah Isi"))</f>
        <v>0</v>
      </c>
      <c r="F68" s="131"/>
      <c r="G68" s="155"/>
    </row>
    <row r="69" spans="1:7" s="25" customFormat="1" ht="18.75" thickBot="1" x14ac:dyDescent="0.3">
      <c r="A69" s="295"/>
      <c r="B69" s="295"/>
      <c r="C69" s="131"/>
      <c r="D69" s="131"/>
      <c r="E69" s="295"/>
      <c r="F69" s="131"/>
      <c r="G69" s="155"/>
    </row>
    <row r="70" spans="1:7" s="25" customFormat="1" ht="79.5" customHeight="1" thickBot="1" x14ac:dyDescent="0.3">
      <c r="A70" s="295">
        <v>10</v>
      </c>
      <c r="B70" s="295" t="s">
        <v>238</v>
      </c>
      <c r="C70" s="587" t="s">
        <v>896</v>
      </c>
      <c r="D70" s="588"/>
      <c r="E70" s="293">
        <v>0</v>
      </c>
      <c r="F70" s="131"/>
      <c r="G70" s="152" t="s">
        <v>1035</v>
      </c>
    </row>
    <row r="71" spans="1:7" s="25" customFormat="1" ht="25.5" customHeight="1" x14ac:dyDescent="0.25">
      <c r="A71" s="295"/>
      <c r="B71" s="295"/>
      <c r="C71" s="326">
        <v>0</v>
      </c>
      <c r="D71" s="318" t="s">
        <v>924</v>
      </c>
      <c r="E71" s="316"/>
      <c r="F71" s="131"/>
      <c r="G71" s="182"/>
    </row>
    <row r="72" spans="1:7" s="25" customFormat="1" ht="25.5" customHeight="1" x14ac:dyDescent="0.25">
      <c r="A72" s="295"/>
      <c r="B72" s="295"/>
      <c r="C72" s="326">
        <v>1</v>
      </c>
      <c r="D72" s="320" t="s">
        <v>757</v>
      </c>
      <c r="E72" s="316"/>
      <c r="F72" s="131"/>
      <c r="G72" s="182"/>
    </row>
    <row r="73" spans="1:7" s="25" customFormat="1" ht="30.75" customHeight="1" x14ac:dyDescent="0.25">
      <c r="A73" s="295"/>
      <c r="B73" s="295"/>
      <c r="C73" s="326">
        <v>2</v>
      </c>
      <c r="D73" s="318" t="s">
        <v>925</v>
      </c>
      <c r="E73" s="316"/>
      <c r="F73" s="131"/>
      <c r="G73" s="182"/>
    </row>
    <row r="74" spans="1:7" s="25" customFormat="1" ht="25.5" customHeight="1" x14ac:dyDescent="0.25">
      <c r="A74" s="295"/>
      <c r="B74" s="295"/>
      <c r="C74" s="326">
        <v>3</v>
      </c>
      <c r="D74" s="320" t="s">
        <v>923</v>
      </c>
      <c r="E74" s="316"/>
      <c r="F74" s="131"/>
      <c r="G74" s="182"/>
    </row>
    <row r="75" spans="1:7" s="25" customFormat="1" ht="34.5" customHeight="1" x14ac:dyDescent="0.25">
      <c r="A75" s="295"/>
      <c r="B75" s="295"/>
      <c r="C75" s="326">
        <v>4</v>
      </c>
      <c r="D75" s="318" t="s">
        <v>926</v>
      </c>
      <c r="E75" s="316"/>
      <c r="F75" s="131"/>
      <c r="G75" s="182"/>
    </row>
    <row r="76" spans="1:7" s="25" customFormat="1" ht="18.75" thickBot="1" x14ac:dyDescent="0.3">
      <c r="A76" s="295"/>
      <c r="B76" s="295"/>
      <c r="C76" s="275" t="s">
        <v>311</v>
      </c>
      <c r="D76" s="276"/>
      <c r="E76" s="294">
        <f>IF(E70&lt;0, "Salah Isi", IF(E70=1, "Tidak ada skor 1", IF(E70=3, "Tidak ada skor 3", IF(E70&lt;=4, E70, "Salah Isi"))))</f>
        <v>0</v>
      </c>
      <c r="F76" s="131"/>
      <c r="G76" s="155"/>
    </row>
    <row r="77" spans="1:7" s="25" customFormat="1" ht="18.75" thickBot="1" x14ac:dyDescent="0.3">
      <c r="A77" s="295"/>
      <c r="B77" s="295"/>
      <c r="C77" s="131"/>
      <c r="D77" s="131"/>
      <c r="E77" s="295"/>
      <c r="F77" s="132"/>
      <c r="G77" s="155"/>
    </row>
    <row r="78" spans="1:7" s="25" customFormat="1" ht="18.75" thickBot="1" x14ac:dyDescent="0.3">
      <c r="A78" s="295">
        <v>11</v>
      </c>
      <c r="B78" s="295" t="s">
        <v>23</v>
      </c>
      <c r="C78" s="303" t="s">
        <v>966</v>
      </c>
      <c r="D78" s="274"/>
      <c r="E78" s="304"/>
      <c r="F78" s="132"/>
      <c r="G78" s="152" t="str">
        <f>C78&amp;" = ("&amp;E79&amp;"/"&amp;E80&amp;") = "&amp;TEXT(E81,"0,00")&amp;". "</f>
        <v xml:space="preserve">Rasio mahasiswa baru transfer terhadap mahasiswa baru bukan transfer = (7/171) = 000. </v>
      </c>
    </row>
    <row r="79" spans="1:7" ht="18" x14ac:dyDescent="0.25">
      <c r="A79" s="42"/>
      <c r="B79" s="42"/>
      <c r="C79" s="307" t="s">
        <v>308</v>
      </c>
      <c r="D79" s="286" t="s">
        <v>469</v>
      </c>
      <c r="E79" s="297">
        <v>7</v>
      </c>
      <c r="F79" s="132"/>
      <c r="G79" s="155"/>
    </row>
    <row r="80" spans="1:7" ht="18" x14ac:dyDescent="0.25">
      <c r="A80" s="295"/>
      <c r="B80" s="295"/>
      <c r="C80" s="307" t="s">
        <v>334</v>
      </c>
      <c r="D80" s="286" t="s">
        <v>470</v>
      </c>
      <c r="E80" s="297">
        <v>171</v>
      </c>
      <c r="F80" s="132"/>
      <c r="G80" s="155"/>
    </row>
    <row r="81" spans="1:7" ht="18" x14ac:dyDescent="0.25">
      <c r="A81" s="295"/>
      <c r="B81" s="295"/>
      <c r="C81" s="307" t="s">
        <v>309</v>
      </c>
      <c r="D81" s="302" t="s">
        <v>468</v>
      </c>
      <c r="E81" s="298">
        <f>E79/E80</f>
        <v>4.0935672514619881E-2</v>
      </c>
      <c r="F81" s="132"/>
      <c r="G81" s="155"/>
    </row>
    <row r="82" spans="1:7" ht="18.75" thickBot="1" x14ac:dyDescent="0.3">
      <c r="A82" s="295"/>
      <c r="B82" s="295"/>
      <c r="C82" s="575" t="s">
        <v>311</v>
      </c>
      <c r="D82" s="576"/>
      <c r="E82" s="294">
        <f>IF(E81&gt;=1.25, 0, IF(E81&gt;0.25, 5-4*E81, 4))</f>
        <v>4</v>
      </c>
      <c r="F82" s="132"/>
      <c r="G82" s="155"/>
    </row>
    <row r="83" spans="1:7" s="25" customFormat="1" ht="18.75" thickBot="1" x14ac:dyDescent="0.3">
      <c r="A83" s="295"/>
      <c r="B83" s="295"/>
      <c r="C83" s="280"/>
      <c r="D83" s="280"/>
      <c r="E83" s="296"/>
      <c r="F83" s="132"/>
      <c r="G83" s="155"/>
    </row>
    <row r="84" spans="1:7" s="25" customFormat="1" ht="78" customHeight="1" thickBot="1" x14ac:dyDescent="0.3">
      <c r="A84" s="295">
        <v>12</v>
      </c>
      <c r="B84" s="295" t="s">
        <v>25</v>
      </c>
      <c r="C84" s="574" t="s">
        <v>897</v>
      </c>
      <c r="D84" s="574"/>
      <c r="E84" s="313">
        <v>0</v>
      </c>
      <c r="F84" s="132"/>
      <c r="G84" s="152" t="s">
        <v>1036</v>
      </c>
    </row>
    <row r="85" spans="1:7" s="25" customFormat="1" ht="19.5" customHeight="1" x14ac:dyDescent="0.25">
      <c r="A85" s="295"/>
      <c r="B85" s="295"/>
      <c r="C85" s="327">
        <v>1</v>
      </c>
      <c r="D85" s="323" t="s">
        <v>927</v>
      </c>
      <c r="E85" s="314"/>
      <c r="F85" s="132"/>
      <c r="G85" s="182"/>
    </row>
    <row r="86" spans="1:7" s="25" customFormat="1" ht="48.75" customHeight="1" x14ac:dyDescent="0.25">
      <c r="A86" s="295"/>
      <c r="B86" s="295"/>
      <c r="C86" s="327">
        <v>2</v>
      </c>
      <c r="D86" s="323" t="s">
        <v>928</v>
      </c>
      <c r="E86" s="314"/>
      <c r="F86" s="132"/>
      <c r="G86" s="182"/>
    </row>
    <row r="87" spans="1:7" s="25" customFormat="1" ht="48" customHeight="1" x14ac:dyDescent="0.25">
      <c r="A87" s="295"/>
      <c r="B87" s="295"/>
      <c r="C87" s="327">
        <v>3</v>
      </c>
      <c r="D87" s="323" t="s">
        <v>929</v>
      </c>
      <c r="E87" s="314"/>
      <c r="F87" s="132"/>
      <c r="G87" s="182"/>
    </row>
    <row r="88" spans="1:7" s="25" customFormat="1" ht="48.75" customHeight="1" x14ac:dyDescent="0.25">
      <c r="A88" s="295"/>
      <c r="B88" s="295"/>
      <c r="C88" s="327">
        <v>4</v>
      </c>
      <c r="D88" s="323" t="s">
        <v>930</v>
      </c>
      <c r="E88" s="314"/>
      <c r="F88" s="132"/>
      <c r="G88" s="182"/>
    </row>
    <row r="89" spans="1:7" s="25" customFormat="1" ht="18" x14ac:dyDescent="0.25">
      <c r="A89" s="295"/>
      <c r="B89" s="295"/>
      <c r="C89" s="317" t="s">
        <v>311</v>
      </c>
      <c r="D89" s="317"/>
      <c r="E89" s="315">
        <f>IF(E84&lt;0, "Salah Isi", IF(E84&lt;1, 1, IF(E84&lt;=4, E84, "Salah Isi")))</f>
        <v>1</v>
      </c>
      <c r="F89" s="132"/>
      <c r="G89" s="155"/>
    </row>
    <row r="90" spans="1:7" ht="18.75" thickBot="1" x14ac:dyDescent="0.3">
      <c r="A90" s="295"/>
      <c r="B90" s="295"/>
      <c r="C90" s="131"/>
      <c r="D90" s="131"/>
      <c r="E90" s="295"/>
      <c r="F90" s="132"/>
      <c r="G90" s="155"/>
    </row>
    <row r="91" spans="1:7" s="25" customFormat="1" ht="18.75" thickBot="1" x14ac:dyDescent="0.3">
      <c r="A91" s="295">
        <v>13</v>
      </c>
      <c r="B91" s="295" t="s">
        <v>31</v>
      </c>
      <c r="C91" s="303" t="s">
        <v>898</v>
      </c>
      <c r="D91" s="274"/>
      <c r="E91" s="304"/>
      <c r="F91" s="132"/>
      <c r="G91" s="152" t="s">
        <v>1037</v>
      </c>
    </row>
    <row r="92" spans="1:7" ht="18" x14ac:dyDescent="0.25">
      <c r="A92" s="42"/>
      <c r="B92" s="42"/>
      <c r="C92" s="285" t="s">
        <v>471</v>
      </c>
      <c r="D92" s="286"/>
      <c r="E92" s="297">
        <f>F117/G117</f>
        <v>2</v>
      </c>
      <c r="F92" s="132" t="str">
        <f>IF(E92&lt;1,"Salah",IF(E92&lt;=4, "Benar", "Salah"))</f>
        <v>Benar</v>
      </c>
      <c r="G92" s="155"/>
    </row>
    <row r="93" spans="1:7" ht="18.75" thickBot="1" x14ac:dyDescent="0.3">
      <c r="A93" s="295"/>
      <c r="B93" s="295"/>
      <c r="C93" s="575" t="s">
        <v>311</v>
      </c>
      <c r="D93" s="576"/>
      <c r="E93" s="294">
        <f>IF(E92&lt;1, "Salah Isi", IF(E92&lt;3.5, (6*E92-1)/5, 4))</f>
        <v>2.2000000000000002</v>
      </c>
      <c r="F93" s="132"/>
      <c r="G93" s="155"/>
    </row>
    <row r="94" spans="1:7" s="25" customFormat="1" ht="18.75" thickBot="1" x14ac:dyDescent="0.3">
      <c r="A94" s="295"/>
      <c r="B94" s="295"/>
      <c r="C94" s="280"/>
      <c r="D94" s="280"/>
      <c r="E94" s="296"/>
      <c r="F94" s="132"/>
      <c r="G94" s="155"/>
    </row>
    <row r="95" spans="1:7" s="25" customFormat="1" ht="26.25" thickBot="1" x14ac:dyDescent="0.3">
      <c r="A95" s="295"/>
      <c r="B95" s="295"/>
      <c r="C95" s="583" t="s">
        <v>948</v>
      </c>
      <c r="D95" s="584"/>
      <c r="E95" s="584"/>
      <c r="F95" s="584"/>
      <c r="G95" s="361" t="s">
        <v>947</v>
      </c>
    </row>
    <row r="96" spans="1:7" s="25" customFormat="1" ht="18" x14ac:dyDescent="0.25">
      <c r="A96" s="295"/>
      <c r="B96" s="295"/>
      <c r="C96" s="331" t="s">
        <v>931</v>
      </c>
      <c r="D96" s="332" t="s">
        <v>946</v>
      </c>
      <c r="E96" s="334">
        <v>5.6</v>
      </c>
      <c r="F96" s="333">
        <f>IF(E96&lt;4.5,4,IF(E96&lt;5,3,IF(E96&lt;5.5,2,1)))</f>
        <v>1</v>
      </c>
      <c r="G96" s="362"/>
    </row>
    <row r="97" spans="1:7" s="25" customFormat="1" ht="18" x14ac:dyDescent="0.25">
      <c r="A97" s="295"/>
      <c r="B97" s="295"/>
      <c r="C97" s="329"/>
      <c r="D97" s="317" t="s">
        <v>932</v>
      </c>
      <c r="E97" s="313">
        <v>2.75</v>
      </c>
      <c r="F97" s="328">
        <f>IF(E97&lt;2,"Salah Isi", IF(E97&lt;2.75,2,IF(E97&lt;3,3,IF(E97&lt;=4,4,"Salah Isi"))))</f>
        <v>3</v>
      </c>
      <c r="G97" s="363"/>
    </row>
    <row r="98" spans="1:7" s="25" customFormat="1" ht="18" x14ac:dyDescent="0.25">
      <c r="A98" s="295"/>
      <c r="B98" s="295"/>
      <c r="C98" s="329"/>
      <c r="D98" s="317" t="s">
        <v>933</v>
      </c>
      <c r="E98" s="314"/>
      <c r="F98" s="328">
        <f>IF(G98=1, (F96+F97)/2,IF(G98=0,0,"Salah isi"))</f>
        <v>2</v>
      </c>
      <c r="G98" s="364">
        <v>1</v>
      </c>
    </row>
    <row r="99" spans="1:7" s="25" customFormat="1" ht="18" x14ac:dyDescent="0.25">
      <c r="A99" s="295"/>
      <c r="B99" s="295"/>
      <c r="C99" s="329" t="s">
        <v>934</v>
      </c>
      <c r="D99" s="317" t="s">
        <v>946</v>
      </c>
      <c r="E99" s="313">
        <v>5.6</v>
      </c>
      <c r="F99" s="328">
        <f>IF(E99&lt;4.5,4,IF(E99&lt;5,3,IF(E99&lt;5.5,2,1)))</f>
        <v>1</v>
      </c>
      <c r="G99" s="365"/>
    </row>
    <row r="100" spans="1:7" s="25" customFormat="1" ht="18" x14ac:dyDescent="0.25">
      <c r="A100" s="295"/>
      <c r="B100" s="295"/>
      <c r="C100" s="329"/>
      <c r="D100" s="317" t="s">
        <v>932</v>
      </c>
      <c r="E100" s="313">
        <v>2.75</v>
      </c>
      <c r="F100" s="328">
        <f>IF(E100&lt;2,"Salah Isi", IF(E100&lt;2.75,2,IF(E100&lt;3,3,IF(E100&lt;=4,4,"Salah Isi"))))</f>
        <v>3</v>
      </c>
      <c r="G100" s="363"/>
    </row>
    <row r="101" spans="1:7" s="25" customFormat="1" ht="18" x14ac:dyDescent="0.25">
      <c r="A101" s="295"/>
      <c r="B101" s="295"/>
      <c r="C101" s="329"/>
      <c r="D101" s="317" t="s">
        <v>940</v>
      </c>
      <c r="E101" s="314"/>
      <c r="F101" s="328">
        <f>IF(G101=1, (F99+F100)/2,IF(G101=0,0,"Salah isi"))</f>
        <v>0</v>
      </c>
      <c r="G101" s="364">
        <v>0</v>
      </c>
    </row>
    <row r="102" spans="1:7" s="25" customFormat="1" ht="18" x14ac:dyDescent="0.25">
      <c r="A102" s="295"/>
      <c r="B102" s="295"/>
      <c r="C102" s="329" t="s">
        <v>935</v>
      </c>
      <c r="D102" s="317" t="s">
        <v>946</v>
      </c>
      <c r="E102" s="313">
        <v>5.6</v>
      </c>
      <c r="F102" s="328">
        <f>IF(E102&lt;4.5,4,IF(E102&lt;5,3,IF(E102&lt;5.5,2,1)))</f>
        <v>1</v>
      </c>
      <c r="G102" s="365"/>
    </row>
    <row r="103" spans="1:7" s="25" customFormat="1" ht="18" x14ac:dyDescent="0.25">
      <c r="A103" s="295"/>
      <c r="B103" s="295"/>
      <c r="C103" s="329"/>
      <c r="D103" s="317" t="s">
        <v>932</v>
      </c>
      <c r="E103" s="313">
        <v>2.75</v>
      </c>
      <c r="F103" s="328">
        <f>IF(E103&lt;2,"Salah Isi", IF(E103&lt;2.75,2,IF(E103&lt;3,3,IF(E103&lt;=4,4,"Salah Isi"))))</f>
        <v>3</v>
      </c>
      <c r="G103" s="363"/>
    </row>
    <row r="104" spans="1:7" s="25" customFormat="1" ht="18" x14ac:dyDescent="0.25">
      <c r="A104" s="295"/>
      <c r="B104" s="295"/>
      <c r="C104" s="329"/>
      <c r="D104" s="317" t="s">
        <v>941</v>
      </c>
      <c r="E104" s="314"/>
      <c r="F104" s="328">
        <f>IF(G104=1, (F102+F103)/2,IF(G104=0,0,"Salah isi"))</f>
        <v>0</v>
      </c>
      <c r="G104" s="364">
        <v>0</v>
      </c>
    </row>
    <row r="105" spans="1:7" s="25" customFormat="1" ht="18" x14ac:dyDescent="0.25">
      <c r="A105" s="295"/>
      <c r="B105" s="295"/>
      <c r="C105" s="329" t="s">
        <v>936</v>
      </c>
      <c r="D105" s="317" t="s">
        <v>946</v>
      </c>
      <c r="E105" s="313">
        <v>5.6</v>
      </c>
      <c r="F105" s="328">
        <f>IF(E105&lt;4.5,4,IF(E105&lt;5,3,IF(E105&lt;5.5,2,1)))</f>
        <v>1</v>
      </c>
      <c r="G105" s="365"/>
    </row>
    <row r="106" spans="1:7" s="25" customFormat="1" ht="18" x14ac:dyDescent="0.25">
      <c r="A106" s="295"/>
      <c r="B106" s="295"/>
      <c r="C106" s="329"/>
      <c r="D106" s="317" t="s">
        <v>932</v>
      </c>
      <c r="E106" s="313">
        <v>2.75</v>
      </c>
      <c r="F106" s="328">
        <f>IF(E106&lt;2,"Salah Isi", IF(E106&lt;2.75,2,IF(E106&lt;3,3,IF(E106&lt;=4,4,"Salah Isi"))))</f>
        <v>3</v>
      </c>
      <c r="G106" s="363"/>
    </row>
    <row r="107" spans="1:7" s="25" customFormat="1" ht="18" x14ac:dyDescent="0.25">
      <c r="A107" s="295"/>
      <c r="B107" s="295"/>
      <c r="C107" s="329"/>
      <c r="D107" s="317" t="s">
        <v>942</v>
      </c>
      <c r="E107" s="314"/>
      <c r="F107" s="328">
        <f>IF(G107=1, (F105+F106)/2,IF(G107=0,0,"Salah isi"))</f>
        <v>0</v>
      </c>
      <c r="G107" s="364">
        <v>0</v>
      </c>
    </row>
    <row r="108" spans="1:7" s="25" customFormat="1" ht="18" x14ac:dyDescent="0.25">
      <c r="A108" s="295"/>
      <c r="B108" s="295"/>
      <c r="C108" s="329" t="s">
        <v>937</v>
      </c>
      <c r="D108" s="317" t="s">
        <v>946</v>
      </c>
      <c r="E108" s="313">
        <v>5.6</v>
      </c>
      <c r="F108" s="328">
        <f>IF(E108&lt;4.5,4,IF(E108&lt;5,3,IF(E108&lt;5.5,2,1)))</f>
        <v>1</v>
      </c>
      <c r="G108" s="363"/>
    </row>
    <row r="109" spans="1:7" s="25" customFormat="1" ht="18" x14ac:dyDescent="0.25">
      <c r="A109" s="295"/>
      <c r="B109" s="295"/>
      <c r="C109" s="329"/>
      <c r="D109" s="317" t="s">
        <v>932</v>
      </c>
      <c r="E109" s="313">
        <v>2.75</v>
      </c>
      <c r="F109" s="328">
        <f>IF(E109&lt;2,"Salah Isi", IF(E109&lt;2.75,2,IF(E109&lt;3,3,IF(E109&lt;=4,4,"Salah Isi"))))</f>
        <v>3</v>
      </c>
      <c r="G109" s="363"/>
    </row>
    <row r="110" spans="1:7" s="25" customFormat="1" ht="18" x14ac:dyDescent="0.25">
      <c r="A110" s="295"/>
      <c r="B110" s="295"/>
      <c r="C110" s="329"/>
      <c r="D110" s="317" t="s">
        <v>943</v>
      </c>
      <c r="E110" s="314"/>
      <c r="F110" s="328">
        <f>IF(G110=1, (F108+F109)/2,IF(G110=0,0,"Salah isi"))</f>
        <v>0</v>
      </c>
      <c r="G110" s="364">
        <v>0</v>
      </c>
    </row>
    <row r="111" spans="1:7" s="25" customFormat="1" ht="18" x14ac:dyDescent="0.25">
      <c r="A111" s="295"/>
      <c r="B111" s="295"/>
      <c r="C111" s="329" t="s">
        <v>938</v>
      </c>
      <c r="D111" s="317" t="s">
        <v>946</v>
      </c>
      <c r="E111" s="313">
        <v>5.6</v>
      </c>
      <c r="F111" s="328">
        <f>IF(E111&lt;4.5,4,IF(E111&lt;5,3,IF(E111&lt;5.5,2,1)))</f>
        <v>1</v>
      </c>
      <c r="G111" s="363"/>
    </row>
    <row r="112" spans="1:7" s="25" customFormat="1" ht="18" x14ac:dyDescent="0.25">
      <c r="A112" s="295"/>
      <c r="B112" s="295"/>
      <c r="C112" s="329"/>
      <c r="D112" s="317" t="s">
        <v>932</v>
      </c>
      <c r="E112" s="313">
        <v>2.75</v>
      </c>
      <c r="F112" s="328">
        <f>IF(E112&lt;2,"Salah Isi", IF(E112&lt;2.75,2,IF(E112&lt;3,3,IF(E112&lt;=4,4,"Salah Isi"))))</f>
        <v>3</v>
      </c>
      <c r="G112" s="363"/>
    </row>
    <row r="113" spans="1:7" s="25" customFormat="1" ht="18" x14ac:dyDescent="0.25">
      <c r="A113" s="295"/>
      <c r="B113" s="295"/>
      <c r="C113" s="329"/>
      <c r="D113" s="317" t="s">
        <v>944</v>
      </c>
      <c r="E113" s="314"/>
      <c r="F113" s="328">
        <f>IF(G113=1, (F111+F112)/2,IF(G113=0,0,"Salah isi"))</f>
        <v>0</v>
      </c>
      <c r="G113" s="364">
        <v>0</v>
      </c>
    </row>
    <row r="114" spans="1:7" s="25" customFormat="1" ht="18" x14ac:dyDescent="0.25">
      <c r="A114" s="295"/>
      <c r="B114" s="295"/>
      <c r="C114" s="329" t="s">
        <v>939</v>
      </c>
      <c r="D114" s="317" t="s">
        <v>946</v>
      </c>
      <c r="E114" s="313">
        <v>5.6</v>
      </c>
      <c r="F114" s="328">
        <f>IF(E114&lt;4.5,4,IF(E114&lt;5,3,IF(E114&lt;5.5,2,1)))</f>
        <v>1</v>
      </c>
      <c r="G114" s="363"/>
    </row>
    <row r="115" spans="1:7" s="25" customFormat="1" ht="18" x14ac:dyDescent="0.25">
      <c r="A115" s="295"/>
      <c r="B115" s="295"/>
      <c r="C115" s="329"/>
      <c r="D115" s="317" t="s">
        <v>932</v>
      </c>
      <c r="E115" s="313">
        <v>2.75</v>
      </c>
      <c r="F115" s="328">
        <f>IF(E115&lt;2,"Salah Isi", IF(E115&lt;2.75,2,IF(E115&lt;3,3,IF(E115&lt;=4,4,"Salah Isi"))))</f>
        <v>3</v>
      </c>
      <c r="G115" s="363"/>
    </row>
    <row r="116" spans="1:7" s="25" customFormat="1" ht="18" x14ac:dyDescent="0.25">
      <c r="A116" s="295"/>
      <c r="B116" s="295"/>
      <c r="C116" s="329"/>
      <c r="D116" s="317" t="s">
        <v>945</v>
      </c>
      <c r="E116" s="314"/>
      <c r="F116" s="328">
        <f>IF(G116=1, (F114+F115)/2,IF(G116=0,0,"Salah isi"))</f>
        <v>0</v>
      </c>
      <c r="G116" s="364">
        <v>0</v>
      </c>
    </row>
    <row r="117" spans="1:7" s="25" customFormat="1" ht="18.75" thickBot="1" x14ac:dyDescent="0.3">
      <c r="A117" s="295"/>
      <c r="B117" s="295"/>
      <c r="C117" s="283"/>
      <c r="D117" s="284"/>
      <c r="E117" s="330"/>
      <c r="F117" s="335">
        <f>SUM(F98+F101+F104+F107+F110+F113+F116)</f>
        <v>2</v>
      </c>
      <c r="G117" s="366">
        <f>SUM(G98+G101+G104+G107+G110+G113+G116)</f>
        <v>1</v>
      </c>
    </row>
    <row r="118" spans="1:7" ht="18.75" thickBot="1" x14ac:dyDescent="0.3">
      <c r="A118" s="295"/>
      <c r="B118" s="295"/>
      <c r="C118" s="131"/>
      <c r="D118" s="131"/>
      <c r="E118" s="295"/>
      <c r="F118" s="132"/>
      <c r="G118" s="155"/>
    </row>
    <row r="119" spans="1:7" s="25" customFormat="1" ht="33" customHeight="1" thickBot="1" x14ac:dyDescent="0.3">
      <c r="A119" s="295">
        <v>14</v>
      </c>
      <c r="B119" s="295" t="s">
        <v>33</v>
      </c>
      <c r="C119" s="581" t="s">
        <v>243</v>
      </c>
      <c r="D119" s="582"/>
      <c r="E119" s="293">
        <v>2</v>
      </c>
      <c r="F119" s="132"/>
      <c r="G119" s="152" t="s">
        <v>1038</v>
      </c>
    </row>
    <row r="120" spans="1:7" s="25" customFormat="1" ht="19.5" customHeight="1" x14ac:dyDescent="0.25">
      <c r="A120" s="295"/>
      <c r="B120" s="295"/>
      <c r="C120" s="336">
        <v>0</v>
      </c>
      <c r="D120" s="323" t="s">
        <v>949</v>
      </c>
      <c r="E120" s="316"/>
      <c r="F120" s="132"/>
      <c r="G120" s="182"/>
    </row>
    <row r="121" spans="1:7" s="25" customFormat="1" ht="33" customHeight="1" x14ac:dyDescent="0.25">
      <c r="A121" s="295"/>
      <c r="B121" s="295"/>
      <c r="C121" s="336">
        <v>1</v>
      </c>
      <c r="D121" s="323" t="s">
        <v>950</v>
      </c>
      <c r="E121" s="316"/>
      <c r="F121" s="132"/>
      <c r="G121" s="182"/>
    </row>
    <row r="122" spans="1:7" s="25" customFormat="1" ht="19.5" customHeight="1" x14ac:dyDescent="0.25">
      <c r="A122" s="295"/>
      <c r="B122" s="295"/>
      <c r="C122" s="336">
        <v>2</v>
      </c>
      <c r="D122" s="323" t="s">
        <v>951</v>
      </c>
      <c r="E122" s="316"/>
      <c r="F122" s="132"/>
      <c r="G122" s="182"/>
    </row>
    <row r="123" spans="1:7" s="25" customFormat="1" ht="18" customHeight="1" x14ac:dyDescent="0.25">
      <c r="A123" s="295"/>
      <c r="B123" s="295"/>
      <c r="C123" s="336">
        <v>3</v>
      </c>
      <c r="D123" s="323" t="s">
        <v>952</v>
      </c>
      <c r="E123" s="316"/>
      <c r="F123" s="132"/>
      <c r="G123" s="182"/>
    </row>
    <row r="124" spans="1:7" s="25" customFormat="1" ht="19.5" customHeight="1" x14ac:dyDescent="0.25">
      <c r="A124" s="295"/>
      <c r="B124" s="295"/>
      <c r="C124" s="336">
        <v>4</v>
      </c>
      <c r="D124" s="323" t="s">
        <v>953</v>
      </c>
      <c r="E124" s="316"/>
      <c r="F124" s="132"/>
      <c r="G124" s="182"/>
    </row>
    <row r="125" spans="1:7" s="25" customFormat="1" ht="18.75" thickBot="1" x14ac:dyDescent="0.3">
      <c r="A125" s="295"/>
      <c r="B125" s="295"/>
      <c r="C125" s="275" t="s">
        <v>311</v>
      </c>
      <c r="D125" s="276"/>
      <c r="E125" s="294">
        <f>IF(E119&lt;0, "Salah Isi", IF(E119&lt;=4, E119, "Salah Isi"))</f>
        <v>2</v>
      </c>
      <c r="F125" s="132"/>
      <c r="G125" s="155"/>
    </row>
    <row r="126" spans="1:7" s="25" customFormat="1" ht="18.75" thickBot="1" x14ac:dyDescent="0.3">
      <c r="A126" s="295"/>
      <c r="B126" s="295"/>
      <c r="C126" s="131"/>
      <c r="D126" s="131"/>
      <c r="E126" s="295"/>
      <c r="F126" s="132"/>
      <c r="G126" s="155"/>
    </row>
    <row r="127" spans="1:7" s="25" customFormat="1" ht="18.75" thickBot="1" x14ac:dyDescent="0.3">
      <c r="A127" s="295">
        <v>15</v>
      </c>
      <c r="B127" s="295" t="s">
        <v>244</v>
      </c>
      <c r="C127" s="303" t="s">
        <v>245</v>
      </c>
      <c r="D127" s="274"/>
      <c r="E127" s="304"/>
      <c r="F127" s="132"/>
      <c r="G127" s="152" t="str">
        <f>C138&amp;" = "&amp;E138&amp;" ("&amp;E135&amp;" S1, "&amp;E136&amp;" S2, "&amp;E137&amp;" S3)." &amp; " Pengelompokan berdasarkan jabatan akademik: … orang tanpa jabatan akademik, … orang Asisten Ahli, … orang Lektor, … orang Lektor Kepala, dan … orang Guru Besar."</f>
        <v>Jumlah total dosen tetap = 27 (7 S1, 16 S2, 4 S3). Pengelompokan berdasarkan jabatan akademik: … orang tanpa jabatan akademik, … orang Asisten Ahli, … orang Lektor, … orang Lektor Kepala, dan … orang Guru Besar.</v>
      </c>
    </row>
    <row r="128" spans="1:7" ht="18" x14ac:dyDescent="0.25">
      <c r="A128" s="42"/>
      <c r="B128" s="42"/>
      <c r="C128" s="285" t="s">
        <v>472</v>
      </c>
      <c r="D128" s="286"/>
      <c r="E128" s="297">
        <v>2.5</v>
      </c>
      <c r="F128" s="132" t="str">
        <f>IF(E128&lt;2,"Salah",IF(E128&lt;=4,"Benar","Salah"))</f>
        <v>Benar</v>
      </c>
      <c r="G128" s="155"/>
    </row>
    <row r="129" spans="1:7" ht="18.75" thickBot="1" x14ac:dyDescent="0.3">
      <c r="A129" s="310"/>
      <c r="B129" s="310"/>
      <c r="C129" s="577" t="s">
        <v>311</v>
      </c>
      <c r="D129" s="578"/>
      <c r="E129" s="294">
        <f>IF(E128&lt;2, "Salah Isi", IF(E128&lt;3.5, (4*E128-2)/3, 4))</f>
        <v>2.6666666666666665</v>
      </c>
      <c r="F129" s="132"/>
      <c r="G129" s="155"/>
    </row>
    <row r="130" spans="1:7" ht="18.75" thickBot="1" x14ac:dyDescent="0.3">
      <c r="A130" s="310"/>
      <c r="B130" s="310"/>
      <c r="C130" s="131"/>
      <c r="D130" s="131"/>
      <c r="E130" s="295"/>
      <c r="F130" s="132"/>
      <c r="G130" s="155"/>
    </row>
    <row r="131" spans="1:7" s="25" customFormat="1" ht="18.75" thickBot="1" x14ac:dyDescent="0.3">
      <c r="A131" s="295">
        <v>16</v>
      </c>
      <c r="B131" s="310" t="s">
        <v>246</v>
      </c>
      <c r="C131" s="281" t="s">
        <v>247</v>
      </c>
      <c r="D131" s="274"/>
      <c r="E131" s="293">
        <v>0</v>
      </c>
      <c r="F131" s="132"/>
      <c r="G131" s="152" t="s">
        <v>1039</v>
      </c>
    </row>
    <row r="132" spans="1:7" s="25" customFormat="1" ht="18.75" thickBot="1" x14ac:dyDescent="0.3">
      <c r="A132" s="310"/>
      <c r="B132" s="310"/>
      <c r="C132" s="275" t="s">
        <v>311</v>
      </c>
      <c r="D132" s="276"/>
      <c r="E132" s="294">
        <f>IF(E131&lt;0, "Salah Isi", IF(E131&lt;1, 1, IF(E131&lt;=4, E131, "Salah Isi")))</f>
        <v>1</v>
      </c>
      <c r="F132" s="132"/>
      <c r="G132" s="155"/>
    </row>
    <row r="133" spans="1:7" s="25" customFormat="1" ht="18.75" thickBot="1" x14ac:dyDescent="0.3">
      <c r="A133" s="310"/>
      <c r="B133" s="310"/>
      <c r="C133" s="131"/>
      <c r="D133" s="131"/>
      <c r="E133" s="295"/>
      <c r="F133" s="132"/>
      <c r="G133" s="155"/>
    </row>
    <row r="134" spans="1:7" s="25" customFormat="1" ht="18.75" thickBot="1" x14ac:dyDescent="0.3">
      <c r="A134" s="295">
        <v>17</v>
      </c>
      <c r="B134" s="295" t="s">
        <v>248</v>
      </c>
      <c r="C134" s="303" t="s">
        <v>899</v>
      </c>
      <c r="D134" s="274"/>
      <c r="E134" s="304"/>
      <c r="F134" s="132"/>
      <c r="G134" s="152" t="str">
        <f>C138&amp;" = "&amp;E138&amp;" ("&amp;E135&amp;" S1, "&amp;E136&amp;" S2, "&amp;E137&amp;" S3). "&amp;"Jumlah dosen tetap yang tugas belajar S2 = "&amp;E141&amp;" orang, dan yang tugas belajar S3 = "&amp;E137&amp;" orang. "&amp;"Banyaknya program studi di Fakultas = "&amp;E143&amp;"."</f>
        <v>Jumlah total dosen tetap = 27 (7 S1, 16 S2, 4 S3). Jumlah dosen tetap yang tugas belajar S2 = 5 orang, dan yang tugas belajar S3 = 4 orang. Banyaknya program studi di Fakultas = 4.</v>
      </c>
    </row>
    <row r="135" spans="1:7" s="25" customFormat="1" ht="18" x14ac:dyDescent="0.25">
      <c r="A135" s="42"/>
      <c r="B135" s="42"/>
      <c r="C135" s="285" t="s">
        <v>569</v>
      </c>
      <c r="D135" s="286"/>
      <c r="E135" s="297">
        <v>7</v>
      </c>
      <c r="F135" s="132"/>
      <c r="G135" s="155"/>
    </row>
    <row r="136" spans="1:7" s="25" customFormat="1" ht="18" x14ac:dyDescent="0.25">
      <c r="A136" s="310"/>
      <c r="B136" s="310"/>
      <c r="C136" s="285" t="s">
        <v>570</v>
      </c>
      <c r="D136" s="286"/>
      <c r="E136" s="297">
        <v>16</v>
      </c>
      <c r="F136" s="132"/>
      <c r="G136" s="155"/>
    </row>
    <row r="137" spans="1:7" s="25" customFormat="1" ht="18" x14ac:dyDescent="0.25">
      <c r="A137" s="310"/>
      <c r="B137" s="310"/>
      <c r="C137" s="285" t="s">
        <v>571</v>
      </c>
      <c r="D137" s="286"/>
      <c r="E137" s="297">
        <v>4</v>
      </c>
      <c r="F137" s="132"/>
      <c r="G137" s="155"/>
    </row>
    <row r="138" spans="1:7" s="25" customFormat="1" ht="18" x14ac:dyDescent="0.25">
      <c r="A138" s="310"/>
      <c r="B138" s="310"/>
      <c r="C138" s="285" t="s">
        <v>572</v>
      </c>
      <c r="D138" s="286"/>
      <c r="E138" s="298">
        <f>SUM(E135:E137)</f>
        <v>27</v>
      </c>
      <c r="F138" s="132"/>
      <c r="G138" s="155"/>
    </row>
    <row r="139" spans="1:7" ht="18" x14ac:dyDescent="0.25">
      <c r="A139" s="311"/>
      <c r="B139" s="311"/>
      <c r="C139" s="285" t="s">
        <v>473</v>
      </c>
      <c r="D139" s="286"/>
      <c r="E139" s="298">
        <f>((E136+E137)/E138)*100</f>
        <v>74.074074074074076</v>
      </c>
      <c r="F139" s="132"/>
      <c r="G139" s="155"/>
    </row>
    <row r="140" spans="1:7" ht="18" x14ac:dyDescent="0.25">
      <c r="A140" s="310"/>
      <c r="B140" s="310"/>
      <c r="C140" s="287" t="s">
        <v>474</v>
      </c>
      <c r="D140" s="286"/>
      <c r="E140" s="298">
        <f>(E137/E138)*100</f>
        <v>14.814814814814813</v>
      </c>
      <c r="F140" s="132"/>
      <c r="G140" s="155"/>
    </row>
    <row r="141" spans="1:7" ht="18" x14ac:dyDescent="0.25">
      <c r="A141" s="310"/>
      <c r="B141" s="310"/>
      <c r="C141" s="308" t="s">
        <v>319</v>
      </c>
      <c r="D141" s="286" t="s">
        <v>475</v>
      </c>
      <c r="E141" s="297">
        <v>5</v>
      </c>
      <c r="F141" s="132"/>
      <c r="G141" s="155"/>
    </row>
    <row r="142" spans="1:7" ht="18" x14ac:dyDescent="0.25">
      <c r="A142" s="310"/>
      <c r="B142" s="310"/>
      <c r="C142" s="308" t="s">
        <v>320</v>
      </c>
      <c r="D142" s="286" t="s">
        <v>476</v>
      </c>
      <c r="E142" s="297">
        <v>0</v>
      </c>
      <c r="F142" s="132"/>
      <c r="G142" s="155"/>
    </row>
    <row r="143" spans="1:7" ht="18" x14ac:dyDescent="0.25">
      <c r="A143" s="310"/>
      <c r="B143" s="310"/>
      <c r="C143" s="308" t="s">
        <v>335</v>
      </c>
      <c r="D143" s="286" t="s">
        <v>477</v>
      </c>
      <c r="E143" s="297">
        <v>4</v>
      </c>
      <c r="F143" s="132"/>
      <c r="G143" s="155"/>
    </row>
    <row r="144" spans="1:7" ht="18" x14ac:dyDescent="0.25">
      <c r="A144" s="310"/>
      <c r="B144" s="310"/>
      <c r="C144" s="287" t="s">
        <v>321</v>
      </c>
      <c r="D144" s="286" t="s">
        <v>478</v>
      </c>
      <c r="E144" s="298">
        <f>(0.75*E141+1.25*E142)/E143</f>
        <v>0.9375</v>
      </c>
      <c r="F144" s="132"/>
      <c r="G144" s="155"/>
    </row>
    <row r="145" spans="1:7" ht="18.75" thickBot="1" x14ac:dyDescent="0.3">
      <c r="A145" s="310"/>
      <c r="B145" s="310"/>
      <c r="C145" s="288" t="s">
        <v>311</v>
      </c>
      <c r="D145" s="276"/>
      <c r="E145" s="294">
        <f>IF(E139&gt;90,4,IF(E140&gt;40,4,IF(E144&gt;=4,4,E144)))</f>
        <v>0.9375</v>
      </c>
      <c r="F145" s="132"/>
      <c r="G145" s="155"/>
    </row>
    <row r="146" spans="1:7" ht="18.75" thickBot="1" x14ac:dyDescent="0.3">
      <c r="A146" s="310"/>
      <c r="B146" s="310"/>
      <c r="C146" s="131"/>
      <c r="D146" s="131"/>
      <c r="E146" s="295"/>
      <c r="F146" s="132"/>
      <c r="G146" s="155"/>
    </row>
    <row r="147" spans="1:7" s="25" customFormat="1" ht="18.75" thickBot="1" x14ac:dyDescent="0.3">
      <c r="A147" s="295">
        <v>18</v>
      </c>
      <c r="B147" s="295" t="s">
        <v>250</v>
      </c>
      <c r="C147" s="281" t="s">
        <v>473</v>
      </c>
      <c r="D147" s="274"/>
      <c r="E147" s="299">
        <f>E139</f>
        <v>74.074074074074076</v>
      </c>
      <c r="F147" s="132"/>
      <c r="G147" s="152" t="str">
        <f>C149&amp;": "</f>
        <v xml:space="preserve">Upaya fakultas dalam mengembangkan tenaga dosen tetap: </v>
      </c>
    </row>
    <row r="148" spans="1:7" s="25" customFormat="1" ht="18" x14ac:dyDescent="0.25">
      <c r="A148" s="310"/>
      <c r="B148" s="310"/>
      <c r="C148" s="287" t="s">
        <v>474</v>
      </c>
      <c r="D148" s="286"/>
      <c r="E148" s="298">
        <f>E140</f>
        <v>14.814814814814813</v>
      </c>
      <c r="F148" s="132"/>
      <c r="G148" s="155"/>
    </row>
    <row r="149" spans="1:7" s="25" customFormat="1" ht="18" x14ac:dyDescent="0.25">
      <c r="A149" s="310"/>
      <c r="B149" s="310"/>
      <c r="C149" s="285" t="s">
        <v>1040</v>
      </c>
      <c r="D149" s="286"/>
      <c r="E149" s="297">
        <v>0</v>
      </c>
      <c r="F149" s="132"/>
      <c r="G149" s="155"/>
    </row>
    <row r="150" spans="1:7" s="25" customFormat="1" ht="18.75" thickBot="1" x14ac:dyDescent="0.3">
      <c r="A150" s="310"/>
      <c r="B150" s="310"/>
      <c r="C150" s="275" t="s">
        <v>311</v>
      </c>
      <c r="D150" s="276"/>
      <c r="E150" s="294">
        <f>IF(E147&gt;90,4,IF(E148&gt;40,4,IF(E149&gt;4,"Salah Isi",E149)))</f>
        <v>0</v>
      </c>
      <c r="F150" s="132"/>
      <c r="G150" s="155"/>
    </row>
    <row r="151" spans="1:7" s="25" customFormat="1" ht="18.75" thickBot="1" x14ac:dyDescent="0.3">
      <c r="A151" s="310"/>
      <c r="B151" s="310"/>
      <c r="C151" s="131"/>
      <c r="D151" s="131"/>
      <c r="E151" s="295"/>
      <c r="F151" s="132"/>
      <c r="G151" s="155"/>
    </row>
    <row r="152" spans="1:7" s="25" customFormat="1" ht="18.75" thickBot="1" x14ac:dyDescent="0.3">
      <c r="A152" s="295">
        <v>19</v>
      </c>
      <c r="B152" s="295" t="s">
        <v>562</v>
      </c>
      <c r="C152" s="281" t="s">
        <v>252</v>
      </c>
      <c r="D152" s="274"/>
      <c r="E152" s="293">
        <v>0</v>
      </c>
      <c r="F152" s="132"/>
      <c r="G152" s="152" t="str">
        <f>C152</f>
        <v>Kecukupan dan kualifikasi tenaga kependidikan.</v>
      </c>
    </row>
    <row r="153" spans="1:7" s="25" customFormat="1" ht="18.75" thickBot="1" x14ac:dyDescent="0.3">
      <c r="A153" s="310"/>
      <c r="B153" s="310"/>
      <c r="C153" s="585" t="s">
        <v>311</v>
      </c>
      <c r="D153" s="586"/>
      <c r="E153" s="294">
        <f>IF(E152&lt;0, "Salah Isi", IF(E152&lt;1, 1, IF(E152&lt;=4, E152, "Salah Isi")))</f>
        <v>1</v>
      </c>
      <c r="F153" s="132"/>
      <c r="G153" s="155"/>
    </row>
    <row r="154" spans="1:7" s="25" customFormat="1" ht="18.75" thickBot="1" x14ac:dyDescent="0.3">
      <c r="A154" s="310"/>
      <c r="B154" s="310"/>
      <c r="C154" s="131"/>
      <c r="D154" s="131"/>
      <c r="E154" s="295"/>
      <c r="F154" s="132"/>
      <c r="G154" s="155"/>
    </row>
    <row r="155" spans="1:7" s="25" customFormat="1" ht="51.75" customHeight="1" thickBot="1" x14ac:dyDescent="0.3">
      <c r="A155" s="295">
        <v>20</v>
      </c>
      <c r="B155" s="295" t="s">
        <v>563</v>
      </c>
      <c r="C155" s="589" t="s">
        <v>900</v>
      </c>
      <c r="D155" s="590"/>
      <c r="E155" s="293">
        <v>3</v>
      </c>
      <c r="F155" s="132"/>
      <c r="G155" s="152" t="s">
        <v>1041</v>
      </c>
    </row>
    <row r="156" spans="1:7" s="25" customFormat="1" ht="18.75" thickBot="1" x14ac:dyDescent="0.3">
      <c r="A156" s="310"/>
      <c r="B156" s="310"/>
      <c r="C156" s="585" t="s">
        <v>311</v>
      </c>
      <c r="D156" s="586"/>
      <c r="E156" s="294">
        <f>IF(E155&lt;0, "Salah Isi", IF(E155&lt;=4, E155, "Salah Isi"))</f>
        <v>3</v>
      </c>
      <c r="F156" s="132"/>
      <c r="G156" s="155"/>
    </row>
    <row r="157" spans="1:7" s="25" customFormat="1" ht="18.75" thickBot="1" x14ac:dyDescent="0.3">
      <c r="A157" s="310"/>
      <c r="B157" s="310"/>
      <c r="C157" s="131"/>
      <c r="D157" s="131"/>
      <c r="E157" s="295"/>
      <c r="F157" s="132"/>
      <c r="G157" s="155"/>
    </row>
    <row r="158" spans="1:7" s="25" customFormat="1" ht="36" customHeight="1" thickBot="1" x14ac:dyDescent="0.3">
      <c r="A158" s="295">
        <v>21</v>
      </c>
      <c r="B158" s="295" t="s">
        <v>564</v>
      </c>
      <c r="C158" s="589" t="s">
        <v>901</v>
      </c>
      <c r="D158" s="590"/>
      <c r="E158" s="293">
        <v>2</v>
      </c>
      <c r="F158" s="132"/>
      <c r="G158" s="152" t="s">
        <v>1042</v>
      </c>
    </row>
    <row r="159" spans="1:7" s="25" customFormat="1" ht="18.75" thickBot="1" x14ac:dyDescent="0.3">
      <c r="A159" s="310"/>
      <c r="B159" s="310"/>
      <c r="C159" s="585" t="s">
        <v>311</v>
      </c>
      <c r="D159" s="586"/>
      <c r="E159" s="294">
        <f>IF(E158&lt;0, "Salah Isi", IF(E158&lt;=4, E158, "Salah Isi"))</f>
        <v>2</v>
      </c>
      <c r="F159" s="132"/>
      <c r="G159" s="155"/>
    </row>
    <row r="160" spans="1:7" s="25" customFormat="1" ht="18.75" thickBot="1" x14ac:dyDescent="0.3">
      <c r="A160" s="310"/>
      <c r="B160" s="310"/>
      <c r="C160" s="131"/>
      <c r="D160" s="131"/>
      <c r="E160" s="295"/>
      <c r="F160" s="132"/>
      <c r="G160" s="155"/>
    </row>
    <row r="161" spans="1:7" s="25" customFormat="1" ht="76.5" customHeight="1" thickBot="1" x14ac:dyDescent="0.3">
      <c r="A161" s="295">
        <v>22</v>
      </c>
      <c r="B161" s="295" t="s">
        <v>480</v>
      </c>
      <c r="C161" s="587" t="s">
        <v>902</v>
      </c>
      <c r="D161" s="588"/>
      <c r="E161" s="304"/>
      <c r="F161" s="132"/>
      <c r="G161" s="152" t="s">
        <v>1043</v>
      </c>
    </row>
    <row r="162" spans="1:7" ht="18" x14ac:dyDescent="0.25">
      <c r="A162" s="42"/>
      <c r="B162" s="42"/>
      <c r="C162" s="285" t="s">
        <v>481</v>
      </c>
      <c r="D162" s="286"/>
      <c r="E162" s="297">
        <v>2</v>
      </c>
      <c r="F162" s="132" t="str">
        <f>IF(E162&lt;1,"Salah",IF(E162&lt;=4,"Benar","Salah"))</f>
        <v>Benar</v>
      </c>
      <c r="G162" s="155"/>
    </row>
    <row r="163" spans="1:7" ht="18.75" thickBot="1" x14ac:dyDescent="0.3">
      <c r="A163" s="310"/>
      <c r="B163" s="310"/>
      <c r="C163" s="575" t="s">
        <v>311</v>
      </c>
      <c r="D163" s="576"/>
      <c r="E163" s="294">
        <f>IF(E162&lt;1,"Salah Isi", IF(E162&lt;3.5,(6*E162-1)/5,4))</f>
        <v>2.2000000000000002</v>
      </c>
      <c r="F163" s="132"/>
      <c r="G163" s="155"/>
    </row>
    <row r="164" spans="1:7" ht="18.75" thickBot="1" x14ac:dyDescent="0.3">
      <c r="A164" s="310"/>
      <c r="B164" s="310"/>
      <c r="C164" s="131"/>
      <c r="D164" s="131"/>
      <c r="E164" s="295"/>
      <c r="F164" s="132"/>
      <c r="G164" s="155"/>
    </row>
    <row r="165" spans="1:7" s="25" customFormat="1" ht="33" customHeight="1" thickBot="1" x14ac:dyDescent="0.3">
      <c r="A165" s="295">
        <v>23</v>
      </c>
      <c r="B165" s="295" t="s">
        <v>256</v>
      </c>
      <c r="C165" s="592" t="s">
        <v>1044</v>
      </c>
      <c r="D165" s="593"/>
      <c r="E165" s="304"/>
      <c r="F165" s="132"/>
      <c r="G165" s="152" t="str">
        <f>C165&amp;" "&amp;D166&amp;" = Rp "&amp;TEXT(E166,"0,00")&amp;" juta per tahun."</f>
        <v>Penggunaan dana untuk operasional (pendidikan, penelitian, pelayanan/ pengabdian kepada masyarakat). Jumlah dana operasional per mhs per tahun  = Rp 005 juta per tahun.</v>
      </c>
    </row>
    <row r="166" spans="1:7" ht="18" x14ac:dyDescent="0.25">
      <c r="A166" s="42"/>
      <c r="B166" s="42"/>
      <c r="C166" s="285" t="s">
        <v>482</v>
      </c>
      <c r="D166" s="286" t="s">
        <v>483</v>
      </c>
      <c r="E166" s="297">
        <f>(637.802554+901.554353+981.010564)/(178*3)</f>
        <v>4.7197892715355803</v>
      </c>
      <c r="F166" s="132" t="s">
        <v>823</v>
      </c>
      <c r="G166" s="155"/>
    </row>
    <row r="167" spans="1:7" ht="18.75" thickBot="1" x14ac:dyDescent="0.3">
      <c r="A167" s="310"/>
      <c r="B167" s="310"/>
      <c r="C167" s="575" t="s">
        <v>311</v>
      </c>
      <c r="D167" s="576"/>
      <c r="E167" s="294">
        <f>IF(E166&gt;=18,4,E166/4.5)</f>
        <v>1.0488420603412401</v>
      </c>
      <c r="F167" s="132"/>
      <c r="G167" s="155"/>
    </row>
    <row r="168" spans="1:7" ht="18.75" thickBot="1" x14ac:dyDescent="0.3">
      <c r="A168" s="310"/>
      <c r="B168" s="310"/>
      <c r="C168" s="131"/>
      <c r="D168" s="131"/>
      <c r="E168" s="295"/>
      <c r="F168" s="132"/>
      <c r="G168" s="155"/>
    </row>
    <row r="169" spans="1:7" s="25" customFormat="1" ht="18.75" thickBot="1" x14ac:dyDescent="0.3">
      <c r="A169" s="295">
        <v>24</v>
      </c>
      <c r="B169" s="295" t="s">
        <v>258</v>
      </c>
      <c r="C169" s="303" t="s">
        <v>140</v>
      </c>
      <c r="D169" s="274"/>
      <c r="E169" s="304"/>
      <c r="F169" s="132"/>
      <c r="G169" s="152" t="str">
        <f>C169&amp;" "&amp;D170&amp; " = Rp "&amp;TEXT(E170,"0,00")&amp;" juta per dosen tetap per tahun."</f>
        <v>Dana penelitian dalam tiga tahun terakhir. Rata-rata dana penelitian per dosen tetap per tahun = Rp 000 juta per dosen tetap per tahun.</v>
      </c>
    </row>
    <row r="170" spans="1:7" ht="18" x14ac:dyDescent="0.25">
      <c r="A170" s="42"/>
      <c r="B170" s="42"/>
      <c r="C170" s="285" t="s">
        <v>484</v>
      </c>
      <c r="D170" s="286" t="s">
        <v>485</v>
      </c>
      <c r="E170" s="297">
        <f>(30)/(3*27)</f>
        <v>0.37037037037037035</v>
      </c>
      <c r="F170" s="132" t="s">
        <v>823</v>
      </c>
      <c r="G170" s="155"/>
    </row>
    <row r="171" spans="1:7" ht="18.75" thickBot="1" x14ac:dyDescent="0.3">
      <c r="A171" s="310"/>
      <c r="B171" s="310"/>
      <c r="C171" s="575" t="s">
        <v>311</v>
      </c>
      <c r="D171" s="576"/>
      <c r="E171" s="294">
        <f>IF(E170&gt;=3,4,(4*E170)/3)</f>
        <v>0.49382716049382713</v>
      </c>
      <c r="F171" s="132"/>
      <c r="G171" s="155"/>
    </row>
    <row r="172" spans="1:7" ht="18.75" thickBot="1" x14ac:dyDescent="0.3">
      <c r="A172" s="310"/>
      <c r="B172" s="310"/>
      <c r="C172" s="131"/>
      <c r="D172" s="131"/>
      <c r="E172" s="295"/>
      <c r="F172" s="132"/>
      <c r="G172" s="155"/>
    </row>
    <row r="173" spans="1:7" s="25" customFormat="1" ht="33" customHeight="1" thickBot="1" x14ac:dyDescent="0.3">
      <c r="A173" s="295">
        <v>25</v>
      </c>
      <c r="B173" s="295" t="s">
        <v>260</v>
      </c>
      <c r="C173" s="581" t="s">
        <v>903</v>
      </c>
      <c r="D173" s="582"/>
      <c r="E173" s="304"/>
      <c r="F173" s="132"/>
      <c r="G173" s="152" t="str">
        <f>"Dana kegiatan PkM dalam tiga tahun terakhir. "&amp;D174&amp;" = Rp "&amp;TEXT(E174,"0,00")&amp;" juta per dosen per tahun."</f>
        <v>Dana kegiatan PkM dalam tiga tahun terakhir. Rata-rata dana PkM per dosen per tahun = Rp 000 juta per dosen per tahun.</v>
      </c>
    </row>
    <row r="174" spans="1:7" ht="18" x14ac:dyDescent="0.25">
      <c r="A174" s="42"/>
      <c r="B174" s="42"/>
      <c r="C174" s="285" t="s">
        <v>486</v>
      </c>
      <c r="D174" s="286" t="s">
        <v>441</v>
      </c>
      <c r="E174" s="297">
        <f>(15)/(3*27)</f>
        <v>0.18518518518518517</v>
      </c>
      <c r="F174" s="132" t="s">
        <v>823</v>
      </c>
      <c r="G174" s="155"/>
    </row>
    <row r="175" spans="1:7" ht="18.75" thickBot="1" x14ac:dyDescent="0.3">
      <c r="A175" s="310"/>
      <c r="B175" s="310"/>
      <c r="C175" s="575" t="s">
        <v>311</v>
      </c>
      <c r="D175" s="576"/>
      <c r="E175" s="294">
        <f>IF(E174&gt;=1.5,4,(8*E174)/3)</f>
        <v>0.49382716049382713</v>
      </c>
      <c r="F175" s="132"/>
      <c r="G175" s="155"/>
    </row>
    <row r="176" spans="1:7" s="25" customFormat="1" ht="18.75" thickBot="1" x14ac:dyDescent="0.3">
      <c r="A176" s="310"/>
      <c r="B176" s="310"/>
      <c r="C176" s="289"/>
      <c r="D176" s="290"/>
      <c r="E176" s="296"/>
      <c r="F176" s="132"/>
      <c r="G176" s="155"/>
    </row>
    <row r="177" spans="1:7" s="25" customFormat="1" ht="18.75" thickBot="1" x14ac:dyDescent="0.3">
      <c r="A177" s="295">
        <v>26</v>
      </c>
      <c r="B177" s="295" t="s">
        <v>262</v>
      </c>
      <c r="C177" s="281" t="s">
        <v>263</v>
      </c>
      <c r="D177" s="274"/>
      <c r="E177" s="293">
        <v>2</v>
      </c>
      <c r="F177" s="132"/>
      <c r="G177" s="152" t="s">
        <v>263</v>
      </c>
    </row>
    <row r="178" spans="1:7" s="25" customFormat="1" ht="18.75" thickBot="1" x14ac:dyDescent="0.3">
      <c r="A178" s="295"/>
      <c r="B178" s="295"/>
      <c r="C178" s="579" t="s">
        <v>311</v>
      </c>
      <c r="D178" s="580"/>
      <c r="E178" s="294">
        <f>IF(E177&lt;0, "Salah Isi", IF(E177&lt;=4, E177, "Salah Isi"))</f>
        <v>2</v>
      </c>
      <c r="F178" s="132"/>
      <c r="G178" s="155"/>
    </row>
    <row r="179" spans="1:7" s="25" customFormat="1" ht="18.75" thickBot="1" x14ac:dyDescent="0.3">
      <c r="A179" s="295"/>
      <c r="B179" s="295"/>
      <c r="C179" s="289"/>
      <c r="D179" s="290"/>
      <c r="E179" s="296"/>
      <c r="F179" s="132"/>
      <c r="G179" s="155"/>
    </row>
    <row r="180" spans="1:7" s="25" customFormat="1" ht="18.75" thickBot="1" x14ac:dyDescent="0.3">
      <c r="A180" s="295">
        <v>27</v>
      </c>
      <c r="B180" s="295" t="s">
        <v>264</v>
      </c>
      <c r="C180" s="282" t="s">
        <v>565</v>
      </c>
      <c r="D180" s="274"/>
      <c r="E180" s="293">
        <v>2</v>
      </c>
      <c r="F180" s="132"/>
      <c r="G180" s="152" t="s">
        <v>565</v>
      </c>
    </row>
    <row r="181" spans="1:7" s="25" customFormat="1" ht="18.75" thickBot="1" x14ac:dyDescent="0.3">
      <c r="A181" s="295"/>
      <c r="B181" s="295"/>
      <c r="C181" s="579" t="s">
        <v>311</v>
      </c>
      <c r="D181" s="580"/>
      <c r="E181" s="294">
        <f>IF(E180&lt;0, "Salah Isi", IF(E180&lt;=4, E180, "Salah Isi"))</f>
        <v>2</v>
      </c>
      <c r="F181" s="132"/>
      <c r="G181" s="155"/>
    </row>
    <row r="182" spans="1:7" s="25" customFormat="1" ht="18.75" thickBot="1" x14ac:dyDescent="0.3">
      <c r="A182" s="295"/>
      <c r="B182" s="295"/>
      <c r="C182" s="289"/>
      <c r="D182" s="290"/>
      <c r="E182" s="296"/>
      <c r="F182" s="132"/>
      <c r="G182" s="155"/>
    </row>
    <row r="183" spans="1:7" s="25" customFormat="1" ht="34.5" customHeight="1" thickBot="1" x14ac:dyDescent="0.3">
      <c r="A183" s="295">
        <v>28</v>
      </c>
      <c r="B183" s="295" t="s">
        <v>138</v>
      </c>
      <c r="C183" s="581" t="s">
        <v>266</v>
      </c>
      <c r="D183" s="582"/>
      <c r="E183" s="293">
        <v>2</v>
      </c>
      <c r="F183" s="132"/>
      <c r="G183" s="152" t="s">
        <v>1045</v>
      </c>
    </row>
    <row r="184" spans="1:7" s="25" customFormat="1" ht="18.75" thickBot="1" x14ac:dyDescent="0.3">
      <c r="A184" s="295"/>
      <c r="B184" s="295"/>
      <c r="C184" s="575" t="s">
        <v>311</v>
      </c>
      <c r="D184" s="576"/>
      <c r="E184" s="294">
        <f>IF(E183&lt;0, "Salah Isi", IF(E183&lt;=4, E183, "Salah Isi"))</f>
        <v>2</v>
      </c>
      <c r="F184" s="132"/>
      <c r="G184" s="155"/>
    </row>
    <row r="185" spans="1:7" s="25" customFormat="1" ht="18.75" thickBot="1" x14ac:dyDescent="0.3">
      <c r="A185" s="295"/>
      <c r="B185" s="295"/>
      <c r="C185" s="289"/>
      <c r="D185" s="290"/>
      <c r="E185" s="296"/>
      <c r="F185" s="132"/>
      <c r="G185" s="155"/>
    </row>
    <row r="186" spans="1:7" s="25" customFormat="1" ht="18.75" thickBot="1" x14ac:dyDescent="0.3">
      <c r="A186" s="295">
        <v>29</v>
      </c>
      <c r="B186" s="295" t="s">
        <v>139</v>
      </c>
      <c r="C186" s="281" t="s">
        <v>267</v>
      </c>
      <c r="D186" s="274"/>
      <c r="E186" s="293">
        <v>2.5</v>
      </c>
      <c r="F186" s="132"/>
      <c r="G186" s="152" t="s">
        <v>1046</v>
      </c>
    </row>
    <row r="187" spans="1:7" s="25" customFormat="1" ht="18.75" thickBot="1" x14ac:dyDescent="0.3">
      <c r="A187" s="295"/>
      <c r="B187" s="295"/>
      <c r="C187" s="579" t="s">
        <v>311</v>
      </c>
      <c r="D187" s="580"/>
      <c r="E187" s="294">
        <f>IF(E186&lt;0, "Salah Isi", IF(E186&lt;=4, E186, "Salah Isi"))</f>
        <v>2.5</v>
      </c>
      <c r="F187" s="132"/>
      <c r="G187" s="155"/>
    </row>
    <row r="188" spans="1:7" s="25" customFormat="1" ht="18.75" thickBot="1" x14ac:dyDescent="0.3">
      <c r="A188" s="295"/>
      <c r="B188" s="295"/>
      <c r="C188" s="289"/>
      <c r="D188" s="290"/>
      <c r="E188" s="296"/>
      <c r="F188" s="132"/>
      <c r="G188" s="155"/>
    </row>
    <row r="189" spans="1:7" s="25" customFormat="1" ht="18.75" thickBot="1" x14ac:dyDescent="0.3">
      <c r="A189" s="295">
        <v>30</v>
      </c>
      <c r="B189" s="295" t="s">
        <v>143</v>
      </c>
      <c r="C189" s="282" t="s">
        <v>893</v>
      </c>
      <c r="D189" s="274"/>
      <c r="E189" s="293">
        <v>2.5</v>
      </c>
      <c r="F189" s="132"/>
      <c r="G189" s="152" t="s">
        <v>1047</v>
      </c>
    </row>
    <row r="190" spans="1:7" s="25" customFormat="1" ht="18.75" thickBot="1" x14ac:dyDescent="0.3">
      <c r="A190" s="295"/>
      <c r="B190" s="295"/>
      <c r="C190" s="579" t="s">
        <v>311</v>
      </c>
      <c r="D190" s="580"/>
      <c r="E190" s="294">
        <f>IF(E189&lt;0, "Salah Isi", IF(E189&lt;=4, E189, "Salah Isi"))</f>
        <v>2.5</v>
      </c>
      <c r="F190" s="132"/>
      <c r="G190" s="155"/>
    </row>
    <row r="191" spans="1:7" s="25" customFormat="1" ht="18.75" thickBot="1" x14ac:dyDescent="0.3">
      <c r="A191" s="295"/>
      <c r="B191" s="295"/>
      <c r="C191" s="289"/>
      <c r="D191" s="290"/>
      <c r="E191" s="296"/>
      <c r="F191" s="132"/>
      <c r="G191" s="155"/>
    </row>
    <row r="192" spans="1:7" s="25" customFormat="1" ht="18.75" thickBot="1" x14ac:dyDescent="0.3">
      <c r="A192" s="295">
        <v>31</v>
      </c>
      <c r="B192" s="295" t="s">
        <v>145</v>
      </c>
      <c r="C192" s="281" t="s">
        <v>566</v>
      </c>
      <c r="D192" s="274"/>
      <c r="E192" s="293">
        <v>2</v>
      </c>
      <c r="F192" s="132"/>
      <c r="G192" s="152" t="s">
        <v>1048</v>
      </c>
    </row>
    <row r="193" spans="1:7" s="25" customFormat="1" ht="18.75" thickBot="1" x14ac:dyDescent="0.3">
      <c r="A193" s="295"/>
      <c r="B193" s="295"/>
      <c r="C193" s="579" t="s">
        <v>311</v>
      </c>
      <c r="D193" s="580"/>
      <c r="E193" s="294">
        <f>IF(E192&lt;0, "Salah Isi", IF(E192&lt;=4, E192, "Salah Isi"))</f>
        <v>2</v>
      </c>
      <c r="F193" s="132"/>
      <c r="G193" s="155"/>
    </row>
    <row r="194" spans="1:7" s="25" customFormat="1" ht="18.75" thickBot="1" x14ac:dyDescent="0.3">
      <c r="A194" s="295"/>
      <c r="B194" s="295"/>
      <c r="C194" s="289"/>
      <c r="D194" s="290"/>
      <c r="E194" s="296"/>
      <c r="F194" s="132"/>
      <c r="G194" s="155"/>
    </row>
    <row r="195" spans="1:7" s="25" customFormat="1" ht="50.25" customHeight="1" thickBot="1" x14ac:dyDescent="0.3">
      <c r="A195" s="295">
        <v>32</v>
      </c>
      <c r="B195" s="295" t="s">
        <v>149</v>
      </c>
      <c r="C195" s="587" t="s">
        <v>904</v>
      </c>
      <c r="D195" s="588"/>
      <c r="E195" s="293">
        <v>0</v>
      </c>
      <c r="F195" s="132"/>
      <c r="G195" s="152" t="s">
        <v>1049</v>
      </c>
    </row>
    <row r="196" spans="1:7" s="25" customFormat="1" ht="18.75" thickBot="1" x14ac:dyDescent="0.3">
      <c r="A196" s="295"/>
      <c r="B196" s="295"/>
      <c r="C196" s="575" t="s">
        <v>311</v>
      </c>
      <c r="D196" s="576"/>
      <c r="E196" s="294">
        <f>IF(E195&lt;0, "Salah Isi", IF(E195&lt;1, 1, IF(E195&lt;=4, E195, "Salah Isi")))</f>
        <v>1</v>
      </c>
      <c r="F196" s="132"/>
      <c r="G196" s="155"/>
    </row>
    <row r="197" spans="1:7" s="25" customFormat="1" ht="18.75" thickBot="1" x14ac:dyDescent="0.3">
      <c r="A197" s="295"/>
      <c r="B197" s="295"/>
      <c r="C197" s="289"/>
      <c r="D197" s="290"/>
      <c r="E197" s="296"/>
      <c r="F197" s="132"/>
      <c r="G197" s="155"/>
    </row>
    <row r="198" spans="1:7" s="25" customFormat="1" ht="33" customHeight="1" thickBot="1" x14ac:dyDescent="0.3">
      <c r="A198" s="295">
        <v>33</v>
      </c>
      <c r="B198" s="295" t="s">
        <v>151</v>
      </c>
      <c r="C198" s="587" t="s">
        <v>905</v>
      </c>
      <c r="D198" s="588"/>
      <c r="E198" s="293">
        <v>0</v>
      </c>
      <c r="F198" s="132"/>
      <c r="G198" s="152" t="s">
        <v>1050</v>
      </c>
    </row>
    <row r="199" spans="1:7" s="25" customFormat="1" ht="18.75" thickBot="1" x14ac:dyDescent="0.3">
      <c r="A199" s="295"/>
      <c r="B199" s="295"/>
      <c r="C199" s="575" t="s">
        <v>311</v>
      </c>
      <c r="D199" s="576"/>
      <c r="E199" s="294">
        <f>IF(E198&lt;0, "Salah Isi", IF(E198&lt;1, 1, IF(E198&lt;=4, E198, "Salah Isi")))</f>
        <v>1</v>
      </c>
      <c r="F199" s="132"/>
      <c r="G199" s="155"/>
    </row>
    <row r="200" spans="1:7" s="25" customFormat="1" ht="18.75" thickBot="1" x14ac:dyDescent="0.3">
      <c r="A200" s="295"/>
      <c r="B200" s="295"/>
      <c r="C200" s="289"/>
      <c r="D200" s="290"/>
      <c r="E200" s="296"/>
      <c r="F200" s="132"/>
      <c r="G200" s="155"/>
    </row>
    <row r="201" spans="1:7" s="25" customFormat="1" ht="18.75" thickBot="1" x14ac:dyDescent="0.3">
      <c r="A201" s="295">
        <v>34</v>
      </c>
      <c r="B201" s="295" t="s">
        <v>158</v>
      </c>
      <c r="C201" s="303" t="s">
        <v>163</v>
      </c>
      <c r="D201" s="274"/>
      <c r="E201" s="305"/>
      <c r="F201" s="132"/>
      <c r="G201" s="152" t="str">
        <f>C201&amp;" Dari 12 jenis data, persentase yang dikelola secara manual = "&amp;TEXT(E202/12,"0,00%")&amp;", dengan komputer tanpa jaringan = "&amp;TEXT(E203/12,"0,00%")&amp;", dengan komputer yang terhubung dengan jaringan lokal = "&amp;TEXT(E204/12,"0,00%")&amp;", dan dengan komputer yang terhubung jaringan luas (internet) = "&amp;TEXT(E205/12,"0,00%")&amp;"."</f>
        <v>Aksesibilitas data dalam sistem informasi. Dari 12 jenis data, persentase yang dikelola secara manual = 000%, dengan komputer tanpa jaringan = 100%, dengan komputer yang terhubung dengan jaringan lokal = 000%, dan dengan komputer yang terhubung jaringan luas (internet) = 000%.</v>
      </c>
    </row>
    <row r="202" spans="1:7" ht="18" x14ac:dyDescent="0.25">
      <c r="A202" s="42"/>
      <c r="B202" s="42"/>
      <c r="C202" s="285" t="s">
        <v>559</v>
      </c>
      <c r="D202" s="286"/>
      <c r="E202" s="297">
        <v>0</v>
      </c>
      <c r="F202" s="132" t="str">
        <f>IF(E202&lt;0,"Salah",IF(E202&lt;=12,"Benar","Salah"))</f>
        <v>Benar</v>
      </c>
      <c r="G202" s="155"/>
    </row>
    <row r="203" spans="1:7" ht="18" x14ac:dyDescent="0.25">
      <c r="A203" s="310"/>
      <c r="B203" s="310"/>
      <c r="C203" s="287" t="s">
        <v>487</v>
      </c>
      <c r="D203" s="286"/>
      <c r="E203" s="297">
        <v>12</v>
      </c>
      <c r="F203" s="132" t="str">
        <f>IF(E203&lt;0,"Salah",IF(E203&lt;=12,"Benar","Salah"))</f>
        <v>Benar</v>
      </c>
      <c r="G203" s="155"/>
    </row>
    <row r="204" spans="1:7" ht="18" x14ac:dyDescent="0.25">
      <c r="A204" s="310"/>
      <c r="B204" s="310"/>
      <c r="C204" s="285" t="s">
        <v>560</v>
      </c>
      <c r="D204" s="286"/>
      <c r="E204" s="297">
        <v>0</v>
      </c>
      <c r="F204" s="132" t="str">
        <f>IF(E204&lt;0,"Salah",IF(E204&lt;=12,"Benar","Salah"))</f>
        <v>Benar</v>
      </c>
      <c r="G204" s="155"/>
    </row>
    <row r="205" spans="1:7" ht="18" x14ac:dyDescent="0.25">
      <c r="A205" s="310"/>
      <c r="B205" s="310"/>
      <c r="C205" s="287" t="s">
        <v>488</v>
      </c>
      <c r="D205" s="286"/>
      <c r="E205" s="297">
        <v>0</v>
      </c>
      <c r="F205" s="132" t="str">
        <f>IF(E205&lt;0,"Salah",IF(E205&lt;=12,"Benar","Salah"))</f>
        <v>Benar</v>
      </c>
      <c r="G205" s="155"/>
    </row>
    <row r="206" spans="1:7" ht="18" x14ac:dyDescent="0.25">
      <c r="A206" s="310"/>
      <c r="B206" s="310"/>
      <c r="C206" s="287" t="s">
        <v>450</v>
      </c>
      <c r="D206" s="286"/>
      <c r="E206" s="298">
        <f>IF((E202+E203+E204+E205)&gt;12,"Salah",(E202+2*E203+3*E204+4*E205)/12)</f>
        <v>2</v>
      </c>
      <c r="F206" s="132"/>
      <c r="G206" s="155"/>
    </row>
    <row r="207" spans="1:7" ht="18" x14ac:dyDescent="0.25">
      <c r="A207" s="310"/>
      <c r="B207" s="310"/>
      <c r="C207" s="287" t="s">
        <v>311</v>
      </c>
      <c r="D207" s="286"/>
      <c r="E207" s="300">
        <f>IF(E202+E203+E204+E205&gt;12, "Salah Isi",  IF(E206&lt;3.5, (6*E206-1)/5, 4))</f>
        <v>2.2000000000000002</v>
      </c>
      <c r="F207" s="132"/>
      <c r="G207" s="155"/>
    </row>
    <row r="208" spans="1:7" ht="18.75" thickBot="1" x14ac:dyDescent="0.3">
      <c r="A208" s="310"/>
      <c r="B208" s="310"/>
      <c r="C208" s="291" t="s">
        <v>894</v>
      </c>
      <c r="D208" s="292"/>
      <c r="E208" s="301"/>
      <c r="F208" s="132"/>
      <c r="G208" s="155"/>
    </row>
    <row r="209" spans="1:7" ht="18.75" thickBot="1" x14ac:dyDescent="0.3">
      <c r="A209" s="310"/>
      <c r="B209" s="310"/>
      <c r="C209" s="131"/>
      <c r="D209" s="131"/>
      <c r="E209" s="295"/>
      <c r="F209" s="132"/>
      <c r="G209" s="155"/>
    </row>
    <row r="210" spans="1:7" s="25" customFormat="1" ht="18.75" thickBot="1" x14ac:dyDescent="0.3">
      <c r="A210" s="295">
        <v>35</v>
      </c>
      <c r="B210" s="295" t="s">
        <v>160</v>
      </c>
      <c r="C210" s="281" t="s">
        <v>1051</v>
      </c>
      <c r="D210" s="274"/>
      <c r="E210" s="293">
        <v>2</v>
      </c>
      <c r="F210" s="132"/>
      <c r="G210" s="152" t="s">
        <v>1052</v>
      </c>
    </row>
    <row r="211" spans="1:7" s="25" customFormat="1" ht="18.75" thickBot="1" x14ac:dyDescent="0.3">
      <c r="A211" s="295"/>
      <c r="B211" s="295"/>
      <c r="C211" s="585" t="s">
        <v>311</v>
      </c>
      <c r="D211" s="586"/>
      <c r="E211" s="294">
        <f>IF(E210&lt;0, "Salah Isi", IF(E210&lt;=4, E210, "Salah Isi"))</f>
        <v>2</v>
      </c>
      <c r="F211" s="132"/>
      <c r="G211" s="155"/>
    </row>
    <row r="212" spans="1:7" s="25" customFormat="1" ht="18.75" thickBot="1" x14ac:dyDescent="0.3">
      <c r="A212" s="295"/>
      <c r="B212" s="295"/>
      <c r="C212" s="131"/>
      <c r="D212" s="131"/>
      <c r="E212" s="295"/>
      <c r="F212" s="132"/>
      <c r="G212" s="155"/>
    </row>
    <row r="213" spans="1:7" s="25" customFormat="1" ht="48.75" customHeight="1" thickBot="1" x14ac:dyDescent="0.3">
      <c r="A213" s="295">
        <v>36</v>
      </c>
      <c r="B213" s="295" t="s">
        <v>273</v>
      </c>
      <c r="C213" s="581" t="s">
        <v>906</v>
      </c>
      <c r="D213" s="582"/>
      <c r="E213" s="293">
        <v>1</v>
      </c>
      <c r="F213" s="132"/>
      <c r="G213" s="152" t="s">
        <v>1053</v>
      </c>
    </row>
    <row r="214" spans="1:7" s="25" customFormat="1" ht="18.75" thickBot="1" x14ac:dyDescent="0.3">
      <c r="A214" s="295"/>
      <c r="B214" s="295"/>
      <c r="C214" s="577" t="s">
        <v>311</v>
      </c>
      <c r="D214" s="578"/>
      <c r="E214" s="294">
        <f>IF(E213&lt;0, "Salah Isi", IF(E213&lt;=4, E213, "Salah Isi"))</f>
        <v>1</v>
      </c>
      <c r="F214" s="132"/>
      <c r="G214" s="155"/>
    </row>
    <row r="215" spans="1:7" s="25" customFormat="1" ht="18.75" thickBot="1" x14ac:dyDescent="0.3">
      <c r="A215" s="295"/>
      <c r="B215" s="295"/>
      <c r="C215" s="131"/>
      <c r="D215" s="131"/>
      <c r="E215" s="295"/>
      <c r="F215" s="132"/>
      <c r="G215" s="155"/>
    </row>
    <row r="216" spans="1:7" s="25" customFormat="1" ht="18.75" thickBot="1" x14ac:dyDescent="0.3">
      <c r="A216" s="295">
        <v>37</v>
      </c>
      <c r="B216" s="295" t="s">
        <v>275</v>
      </c>
      <c r="C216" s="367" t="s">
        <v>1054</v>
      </c>
      <c r="D216" s="274"/>
      <c r="E216" s="304"/>
      <c r="F216" s="132"/>
      <c r="G216" s="152" t="str">
        <f>C216&amp;" "&amp;D217&amp;" = "&amp;E217&amp;" judul, pada TS-1 = "&amp;E218&amp;" judul, dan pada TS = "&amp;E219&amp;" judul. "&amp;C220&amp;" = "&amp;E220&amp;" orang. "&amp;D221&amp;" = "&amp;TEXT(E221,"0,00")&amp;" judul."</f>
        <v>Kegiatan penelitian dosen tetap. Jumlah penelitian pada TS-2 = 1 judul, pada TS-1 = 1 judul, dan pada TS = 1 judul. Banyaknya dosen tetap = 27 orang. Rata-rata jumlah penelitian per dosen tetap per 3 tahun = 000 judul.</v>
      </c>
    </row>
    <row r="217" spans="1:7" ht="18" x14ac:dyDescent="0.25">
      <c r="A217" s="42"/>
      <c r="B217" s="42"/>
      <c r="C217" s="307" t="s">
        <v>489</v>
      </c>
      <c r="D217" s="302" t="s">
        <v>493</v>
      </c>
      <c r="E217" s="297">
        <f>3/3</f>
        <v>1</v>
      </c>
      <c r="F217" s="132"/>
      <c r="G217" s="155"/>
    </row>
    <row r="218" spans="1:7" ht="18" x14ac:dyDescent="0.25">
      <c r="A218" s="310"/>
      <c r="B218" s="310"/>
      <c r="C218" s="308" t="s">
        <v>490</v>
      </c>
      <c r="D218" s="306" t="s">
        <v>494</v>
      </c>
      <c r="E218" s="297">
        <f>3/3</f>
        <v>1</v>
      </c>
      <c r="F218" s="132"/>
      <c r="G218" s="155"/>
    </row>
    <row r="219" spans="1:7" ht="18" x14ac:dyDescent="0.25">
      <c r="A219" s="310"/>
      <c r="B219" s="310"/>
      <c r="C219" s="308" t="s">
        <v>491</v>
      </c>
      <c r="D219" s="306" t="s">
        <v>495</v>
      </c>
      <c r="E219" s="297">
        <f>3/3</f>
        <v>1</v>
      </c>
      <c r="F219" s="132"/>
      <c r="G219" s="155"/>
    </row>
    <row r="220" spans="1:7" ht="18" x14ac:dyDescent="0.25">
      <c r="A220" s="310"/>
      <c r="B220" s="310"/>
      <c r="C220" s="287" t="s">
        <v>496</v>
      </c>
      <c r="D220" s="286"/>
      <c r="E220" s="297">
        <v>27</v>
      </c>
      <c r="F220" s="132"/>
      <c r="G220" s="155"/>
    </row>
    <row r="221" spans="1:7" ht="18" x14ac:dyDescent="0.25">
      <c r="A221" s="310"/>
      <c r="B221" s="310"/>
      <c r="C221" s="287" t="s">
        <v>492</v>
      </c>
      <c r="D221" s="286" t="s">
        <v>1055</v>
      </c>
      <c r="E221" s="298">
        <f>(E217+E218+E219)/E220</f>
        <v>0.1111111111111111</v>
      </c>
      <c r="F221" s="132"/>
      <c r="G221" s="155"/>
    </row>
    <row r="222" spans="1:7" ht="18.75" thickBot="1" x14ac:dyDescent="0.3">
      <c r="A222" s="310"/>
      <c r="B222" s="310"/>
      <c r="C222" s="288" t="s">
        <v>311</v>
      </c>
      <c r="D222" s="276"/>
      <c r="E222" s="294">
        <f>IF(E221=0,0,IF(E221&lt;1,3*E221+1,4))</f>
        <v>1.3333333333333333</v>
      </c>
      <c r="F222" s="132"/>
      <c r="G222" s="155"/>
    </row>
    <row r="223" spans="1:7" ht="18.75" thickBot="1" x14ac:dyDescent="0.3">
      <c r="A223" s="310"/>
      <c r="B223" s="310"/>
      <c r="C223" s="131"/>
      <c r="D223" s="131"/>
      <c r="E223" s="295"/>
      <c r="F223" s="132"/>
      <c r="G223" s="155"/>
    </row>
    <row r="224" spans="1:7" s="25" customFormat="1" ht="18.75" thickBot="1" x14ac:dyDescent="0.3">
      <c r="A224" s="295">
        <v>38</v>
      </c>
      <c r="B224" s="295" t="s">
        <v>277</v>
      </c>
      <c r="C224" s="303" t="s">
        <v>908</v>
      </c>
      <c r="D224" s="274"/>
      <c r="E224" s="304"/>
      <c r="F224" s="132"/>
      <c r="G224" s="152" t="str">
        <f>C224&amp;" "&amp;D225&amp;" = Rp "&amp;E225&amp;" juta, pada TS-1 = Rp "&amp;E226&amp;" juta, dan pada TS = Rp "&amp;E227&amp;" juta. "&amp;C228&amp;" = "&amp;E228&amp;" orang. "&amp;D229&amp;" = Rp "&amp;TEXT(E229,"0,00")&amp;" juta."</f>
        <v>Besar dana penelitian (dalam juta rupiah). Besar dana penelitian pada TS-2 = Rp 10 juta, pada TS-1 = Rp 10 juta, dan pada TS = Rp 10 juta. Banyaknya dosen tetap = 27 orang. Rata-rata dana penelitian per dosen tetap per tahun = Rp 000 juta.</v>
      </c>
    </row>
    <row r="225" spans="1:7" ht="18" x14ac:dyDescent="0.25">
      <c r="A225" s="42"/>
      <c r="B225" s="42"/>
      <c r="C225" s="307" t="s">
        <v>500</v>
      </c>
      <c r="D225" s="302" t="s">
        <v>497</v>
      </c>
      <c r="E225" s="297">
        <f>30/3</f>
        <v>10</v>
      </c>
      <c r="F225" s="132" t="s">
        <v>823</v>
      </c>
      <c r="G225" s="155"/>
    </row>
    <row r="226" spans="1:7" ht="18" x14ac:dyDescent="0.25">
      <c r="A226" s="310"/>
      <c r="B226" s="310"/>
      <c r="C226" s="308" t="s">
        <v>501</v>
      </c>
      <c r="D226" s="306" t="s">
        <v>498</v>
      </c>
      <c r="E226" s="297">
        <f>30/3</f>
        <v>10</v>
      </c>
      <c r="F226" s="132" t="s">
        <v>823</v>
      </c>
      <c r="G226" s="155"/>
    </row>
    <row r="227" spans="1:7" ht="18" x14ac:dyDescent="0.25">
      <c r="A227" s="310"/>
      <c r="B227" s="310"/>
      <c r="C227" s="308" t="s">
        <v>502</v>
      </c>
      <c r="D227" s="306" t="s">
        <v>499</v>
      </c>
      <c r="E227" s="297">
        <f>30/3</f>
        <v>10</v>
      </c>
      <c r="F227" s="132" t="s">
        <v>823</v>
      </c>
      <c r="G227" s="155"/>
    </row>
    <row r="228" spans="1:7" ht="18" x14ac:dyDescent="0.25">
      <c r="A228" s="310"/>
      <c r="B228" s="310"/>
      <c r="C228" s="287" t="s">
        <v>496</v>
      </c>
      <c r="D228" s="286"/>
      <c r="E228" s="297">
        <v>27</v>
      </c>
      <c r="F228" s="132"/>
      <c r="G228" s="155"/>
    </row>
    <row r="229" spans="1:7" ht="18" x14ac:dyDescent="0.25">
      <c r="A229" s="310"/>
      <c r="B229" s="310"/>
      <c r="C229" s="287" t="s">
        <v>503</v>
      </c>
      <c r="D229" s="286" t="s">
        <v>485</v>
      </c>
      <c r="E229" s="298">
        <f>(E225+E226+E227)/(3*E228)</f>
        <v>0.37037037037037035</v>
      </c>
      <c r="F229" s="132"/>
      <c r="G229" s="155"/>
    </row>
    <row r="230" spans="1:7" ht="18.75" thickBot="1" x14ac:dyDescent="0.3">
      <c r="A230" s="310"/>
      <c r="B230" s="310"/>
      <c r="C230" s="288" t="s">
        <v>311</v>
      </c>
      <c r="D230" s="276"/>
      <c r="E230" s="294">
        <f>IF(E229=0,0,IF(E229&lt;3,E229+1,4))</f>
        <v>1.3703703703703702</v>
      </c>
      <c r="F230" s="132"/>
      <c r="G230" s="155"/>
    </row>
    <row r="231" spans="1:7" ht="18.75" thickBot="1" x14ac:dyDescent="0.3">
      <c r="A231" s="310"/>
      <c r="B231" s="310"/>
      <c r="C231" s="131"/>
      <c r="D231" s="131"/>
      <c r="E231" s="295"/>
      <c r="F231" s="132"/>
      <c r="G231" s="155"/>
    </row>
    <row r="232" spans="1:7" s="25" customFormat="1" ht="18.75" thickBot="1" x14ac:dyDescent="0.3">
      <c r="A232" s="295">
        <v>39</v>
      </c>
      <c r="B232" s="295" t="s">
        <v>166</v>
      </c>
      <c r="C232" s="281" t="s">
        <v>567</v>
      </c>
      <c r="D232" s="274"/>
      <c r="E232" s="293">
        <v>2</v>
      </c>
      <c r="F232" s="132"/>
      <c r="G232" s="152" t="s">
        <v>1056</v>
      </c>
    </row>
    <row r="233" spans="1:7" s="25" customFormat="1" ht="18.75" thickBot="1" x14ac:dyDescent="0.3">
      <c r="A233" s="295"/>
      <c r="B233" s="295"/>
      <c r="C233" s="585" t="s">
        <v>311</v>
      </c>
      <c r="D233" s="586"/>
      <c r="E233" s="294">
        <f>IF(E232&lt;0, "Salah Isi", IF(E232&lt;=4, E232, "Salah Isi"))</f>
        <v>2</v>
      </c>
      <c r="F233" s="132"/>
      <c r="G233" s="155"/>
    </row>
    <row r="234" spans="1:7" s="25" customFormat="1" ht="18.75" thickBot="1" x14ac:dyDescent="0.3">
      <c r="A234" s="295"/>
      <c r="B234" s="295"/>
      <c r="C234" s="131"/>
      <c r="D234" s="131"/>
      <c r="E234" s="295"/>
      <c r="F234" s="132"/>
      <c r="G234" s="155"/>
    </row>
    <row r="235" spans="1:7" s="25" customFormat="1" ht="18.75" thickBot="1" x14ac:dyDescent="0.3">
      <c r="A235" s="295">
        <v>40</v>
      </c>
      <c r="B235" s="295" t="s">
        <v>280</v>
      </c>
      <c r="C235" s="303" t="s">
        <v>1058</v>
      </c>
      <c r="D235" s="274"/>
      <c r="E235" s="304"/>
      <c r="F235" s="132"/>
      <c r="G235" s="152" t="str">
        <f>C235&amp;" "&amp;D236&amp;" = "&amp;E236&amp;" judul, pada TS-1 = "&amp;E237&amp;" judul, dan pada TS = "&amp;E238&amp;" judul. "&amp;C239&amp;" = "&amp;E239&amp;" orang. "&amp;D240&amp;" = "&amp;TEXT(E240,"0,00")&amp;" judul."</f>
        <v>Kegiatan PkM dosen tetap. Jumlah kegiatan PkM pada TS-2 = 1 judul, pada TS-1 = 0 judul, dan pada TS = 0 judul. Banyaknya dosen tetap = 27 orang. Rata-rata jumlah kegiatan PkM per dosen tetap per 3 tahun = 000 judul.</v>
      </c>
    </row>
    <row r="236" spans="1:7" ht="18" x14ac:dyDescent="0.25">
      <c r="A236" s="42"/>
      <c r="B236" s="42"/>
      <c r="C236" s="307" t="s">
        <v>489</v>
      </c>
      <c r="D236" s="302" t="s">
        <v>504</v>
      </c>
      <c r="E236" s="297">
        <v>1</v>
      </c>
      <c r="F236" s="132"/>
      <c r="G236" s="155"/>
    </row>
    <row r="237" spans="1:7" ht="18" x14ac:dyDescent="0.25">
      <c r="A237" s="310"/>
      <c r="B237" s="310"/>
      <c r="C237" s="308" t="s">
        <v>490</v>
      </c>
      <c r="D237" s="306" t="s">
        <v>505</v>
      </c>
      <c r="E237" s="297">
        <v>0</v>
      </c>
      <c r="F237" s="132"/>
      <c r="G237" s="155"/>
    </row>
    <row r="238" spans="1:7" ht="18" x14ac:dyDescent="0.25">
      <c r="A238" s="310"/>
      <c r="B238" s="310"/>
      <c r="C238" s="308" t="s">
        <v>491</v>
      </c>
      <c r="D238" s="306" t="s">
        <v>506</v>
      </c>
      <c r="E238" s="297">
        <v>0</v>
      </c>
      <c r="F238" s="132"/>
      <c r="G238" s="155"/>
    </row>
    <row r="239" spans="1:7" ht="18" x14ac:dyDescent="0.25">
      <c r="A239" s="310"/>
      <c r="B239" s="310"/>
      <c r="C239" s="287" t="s">
        <v>496</v>
      </c>
      <c r="D239" s="286"/>
      <c r="E239" s="297">
        <v>27</v>
      </c>
      <c r="F239" s="132"/>
      <c r="G239" s="155"/>
    </row>
    <row r="240" spans="1:7" ht="18" x14ac:dyDescent="0.25">
      <c r="A240" s="310"/>
      <c r="B240" s="310"/>
      <c r="C240" s="287" t="s">
        <v>492</v>
      </c>
      <c r="D240" s="286" t="s">
        <v>1057</v>
      </c>
      <c r="E240" s="298">
        <f>(E236+E237+E238)/E239</f>
        <v>3.7037037037037035E-2</v>
      </c>
      <c r="F240" s="132"/>
      <c r="G240" s="155"/>
    </row>
    <row r="241" spans="1:7" ht="18.75" thickBot="1" x14ac:dyDescent="0.3">
      <c r="A241" s="310"/>
      <c r="B241" s="310"/>
      <c r="C241" s="288" t="s">
        <v>311</v>
      </c>
      <c r="D241" s="276"/>
      <c r="E241" s="294">
        <f>IF(E240=0,0,IF(E240&lt;0.5,6*E240+1,4))</f>
        <v>1.2222222222222223</v>
      </c>
      <c r="F241" s="132"/>
      <c r="G241" s="155"/>
    </row>
    <row r="242" spans="1:7" ht="18.75" thickBot="1" x14ac:dyDescent="0.3">
      <c r="A242" s="310"/>
      <c r="B242" s="310"/>
      <c r="C242" s="131"/>
      <c r="D242" s="131"/>
      <c r="E242" s="295"/>
      <c r="F242" s="132"/>
      <c r="G242" s="155"/>
    </row>
    <row r="243" spans="1:7" s="25" customFormat="1" ht="18.75" thickBot="1" x14ac:dyDescent="0.3">
      <c r="A243" s="295">
        <v>41</v>
      </c>
      <c r="B243" s="295" t="s">
        <v>282</v>
      </c>
      <c r="C243" s="303" t="s">
        <v>283</v>
      </c>
      <c r="D243" s="274"/>
      <c r="E243" s="304"/>
      <c r="F243" s="132"/>
      <c r="G243" s="152" t="str">
        <f>C243&amp;" "&amp;D244&amp;" = Rp "&amp;E244&amp;" juta, pada TS-1 = Rp "&amp;E245&amp;" juta, dan pada TS = Rp "&amp;E246&amp;" juta. "&amp;C247&amp;" = "&amp;E247&amp;" orang. "&amp;D248&amp;" = Rp "&amp;TEXT(E248,"0,00")&amp;" juta."</f>
        <v>Besar dana PkM. Besar dana PkM pada TS-2 = Rp 0 juta, pada TS-1 = Rp 10 juta, dan pada TS = Rp 0 juta. Banyaknya dosen tetap = 27 orang. Rata-rata dana PkM per dosen per tahun = Rp 000 juta.</v>
      </c>
    </row>
    <row r="244" spans="1:7" ht="18" x14ac:dyDescent="0.25">
      <c r="A244" s="42"/>
      <c r="B244" s="42"/>
      <c r="C244" s="307" t="s">
        <v>500</v>
      </c>
      <c r="D244" s="302" t="s">
        <v>507</v>
      </c>
      <c r="E244" s="297">
        <v>0</v>
      </c>
      <c r="F244" s="132" t="s">
        <v>823</v>
      </c>
      <c r="G244" s="155"/>
    </row>
    <row r="245" spans="1:7" ht="18" x14ac:dyDescent="0.25">
      <c r="A245" s="310"/>
      <c r="B245" s="310"/>
      <c r="C245" s="308" t="s">
        <v>501</v>
      </c>
      <c r="D245" s="306" t="s">
        <v>508</v>
      </c>
      <c r="E245" s="297">
        <v>10</v>
      </c>
      <c r="F245" s="132" t="s">
        <v>823</v>
      </c>
      <c r="G245" s="155"/>
    </row>
    <row r="246" spans="1:7" ht="18" x14ac:dyDescent="0.25">
      <c r="A246" s="310"/>
      <c r="B246" s="310"/>
      <c r="C246" s="308" t="s">
        <v>502</v>
      </c>
      <c r="D246" s="306" t="s">
        <v>509</v>
      </c>
      <c r="E246" s="297">
        <v>0</v>
      </c>
      <c r="F246" s="132" t="s">
        <v>823</v>
      </c>
      <c r="G246" s="155"/>
    </row>
    <row r="247" spans="1:7" ht="18" x14ac:dyDescent="0.25">
      <c r="A247" s="310"/>
      <c r="B247" s="310"/>
      <c r="C247" s="287" t="s">
        <v>496</v>
      </c>
      <c r="D247" s="286"/>
      <c r="E247" s="297">
        <v>27</v>
      </c>
      <c r="F247" s="132"/>
      <c r="G247" s="155"/>
    </row>
    <row r="248" spans="1:7" ht="18" x14ac:dyDescent="0.25">
      <c r="A248" s="310"/>
      <c r="B248" s="310"/>
      <c r="C248" s="287" t="s">
        <v>503</v>
      </c>
      <c r="D248" s="286" t="s">
        <v>441</v>
      </c>
      <c r="E248" s="298">
        <f>(E244+E245+E246)/(3*E247)</f>
        <v>0.12345679012345678</v>
      </c>
      <c r="F248" s="132"/>
      <c r="G248" s="155"/>
    </row>
    <row r="249" spans="1:7" ht="18.75" thickBot="1" x14ac:dyDescent="0.3">
      <c r="A249" s="310"/>
      <c r="B249" s="310"/>
      <c r="C249" s="288" t="s">
        <v>311</v>
      </c>
      <c r="D249" s="276"/>
      <c r="E249" s="294">
        <f>IF(E248=0,0,IF(E248&lt;1.5,2*E248+1,4))</f>
        <v>1.2469135802469136</v>
      </c>
      <c r="F249" s="132"/>
      <c r="G249" s="155"/>
    </row>
    <row r="250" spans="1:7" ht="18.75" thickBot="1" x14ac:dyDescent="0.3">
      <c r="A250" s="310"/>
      <c r="B250" s="310"/>
      <c r="C250" s="131"/>
      <c r="D250" s="131"/>
      <c r="E250" s="295"/>
      <c r="F250" s="132"/>
      <c r="G250" s="155"/>
    </row>
    <row r="251" spans="1:7" ht="18.75" thickBot="1" x14ac:dyDescent="0.3">
      <c r="A251" s="295">
        <v>42</v>
      </c>
      <c r="B251" s="295" t="s">
        <v>174</v>
      </c>
      <c r="C251" s="281" t="s">
        <v>568</v>
      </c>
      <c r="D251" s="274"/>
      <c r="E251" s="293">
        <v>2</v>
      </c>
      <c r="F251" s="132"/>
      <c r="G251" s="152" t="s">
        <v>1059</v>
      </c>
    </row>
    <row r="252" spans="1:7" ht="18.75" thickBot="1" x14ac:dyDescent="0.3">
      <c r="A252" s="295"/>
      <c r="B252" s="295"/>
      <c r="C252" s="585" t="s">
        <v>311</v>
      </c>
      <c r="D252" s="586"/>
      <c r="E252" s="294">
        <f>IF(E251&lt;0, "Salah Isi", IF(E251&lt;=4, E251, "Salah Isi"))</f>
        <v>2</v>
      </c>
      <c r="F252" s="132"/>
      <c r="G252" s="155"/>
    </row>
    <row r="253" spans="1:7" ht="18.75" thickBot="1" x14ac:dyDescent="0.3">
      <c r="A253" s="295"/>
      <c r="B253" s="295"/>
      <c r="C253" s="131"/>
      <c r="D253" s="131"/>
      <c r="E253" s="295"/>
      <c r="F253" s="132"/>
      <c r="G253" s="155"/>
    </row>
    <row r="254" spans="1:7" ht="18.75" thickBot="1" x14ac:dyDescent="0.3">
      <c r="A254" s="295">
        <v>43</v>
      </c>
      <c r="B254" s="295" t="s">
        <v>176</v>
      </c>
      <c r="C254" s="281" t="s">
        <v>553</v>
      </c>
      <c r="D254" s="274"/>
      <c r="E254" s="293">
        <v>0</v>
      </c>
      <c r="F254" s="132"/>
      <c r="G254" s="152" t="s">
        <v>1060</v>
      </c>
    </row>
    <row r="255" spans="1:7" ht="18.75" thickBot="1" x14ac:dyDescent="0.3">
      <c r="A255" s="295"/>
      <c r="B255" s="295"/>
      <c r="C255" s="585" t="s">
        <v>311</v>
      </c>
      <c r="D255" s="586"/>
      <c r="E255" s="294">
        <f>IF(E254&lt;0, "Salah Isi", IF(E254&lt;=4, E254, "Salah Isi"))</f>
        <v>0</v>
      </c>
      <c r="F255" s="132"/>
      <c r="G255" s="155"/>
    </row>
    <row r="256" spans="1:7" ht="18.75" thickBot="1" x14ac:dyDescent="0.3">
      <c r="A256" s="295"/>
      <c r="B256" s="295"/>
      <c r="C256" s="131"/>
      <c r="D256" s="131"/>
      <c r="E256" s="295"/>
      <c r="F256" s="132"/>
      <c r="G256" s="155"/>
    </row>
    <row r="257" spans="1:7" ht="18.75" thickBot="1" x14ac:dyDescent="0.3">
      <c r="A257" s="295">
        <v>44</v>
      </c>
      <c r="B257" s="295" t="s">
        <v>178</v>
      </c>
      <c r="C257" s="281" t="s">
        <v>554</v>
      </c>
      <c r="D257" s="274"/>
      <c r="E257" s="293">
        <v>0</v>
      </c>
      <c r="F257" s="132"/>
      <c r="G257" s="152" t="s">
        <v>1061</v>
      </c>
    </row>
    <row r="258" spans="1:7" ht="18.75" thickBot="1" x14ac:dyDescent="0.3">
      <c r="A258" s="295"/>
      <c r="B258" s="295"/>
      <c r="C258" s="585" t="s">
        <v>311</v>
      </c>
      <c r="D258" s="586"/>
      <c r="E258" s="294">
        <f>IF(E257&lt;0, "Salah Isi", IF(E257&lt;=4, E257, "Salah Isi"))</f>
        <v>0</v>
      </c>
      <c r="F258" s="132"/>
      <c r="G258" s="155"/>
    </row>
    <row r="259" spans="1:7" ht="18" x14ac:dyDescent="0.25">
      <c r="A259" s="130"/>
      <c r="B259" s="130"/>
      <c r="C259" s="132"/>
      <c r="D259" s="132"/>
      <c r="E259" s="132"/>
      <c r="F259" s="132"/>
    </row>
    <row r="260" spans="1:7" ht="18" x14ac:dyDescent="0.25">
      <c r="A260" s="128"/>
      <c r="B260" s="128"/>
      <c r="C260" s="129"/>
      <c r="D260" s="129"/>
      <c r="E260" s="129"/>
      <c r="F260" s="129"/>
    </row>
    <row r="261" spans="1:7" ht="18" x14ac:dyDescent="0.25">
      <c r="A261" s="128"/>
      <c r="B261" s="128"/>
      <c r="C261" s="129"/>
      <c r="D261" s="129"/>
      <c r="E261" s="129"/>
      <c r="F261" s="129"/>
    </row>
    <row r="262" spans="1:7" ht="18" x14ac:dyDescent="0.25">
      <c r="A262" s="128"/>
      <c r="B262" s="128"/>
      <c r="C262" s="129"/>
      <c r="D262" s="129"/>
      <c r="E262" s="129"/>
      <c r="F262" s="129"/>
    </row>
    <row r="263" spans="1:7" ht="18" x14ac:dyDescent="0.25">
      <c r="A263" s="128"/>
      <c r="B263" s="128"/>
      <c r="C263" s="129"/>
      <c r="D263" s="129"/>
      <c r="E263" s="129"/>
      <c r="F263" s="129"/>
    </row>
    <row r="264" spans="1:7" ht="18" x14ac:dyDescent="0.25">
      <c r="A264" s="128"/>
      <c r="B264" s="128"/>
      <c r="C264" s="129"/>
      <c r="D264" s="129"/>
      <c r="E264" s="129"/>
      <c r="F264" s="129"/>
    </row>
    <row r="265" spans="1:7" ht="18" x14ac:dyDescent="0.25">
      <c r="A265" s="128"/>
      <c r="B265" s="128"/>
      <c r="C265" s="129"/>
      <c r="D265" s="129"/>
      <c r="E265" s="129"/>
      <c r="F265" s="129"/>
    </row>
    <row r="266" spans="1:7" ht="18" x14ac:dyDescent="0.25">
      <c r="A266" s="128"/>
      <c r="B266" s="128"/>
      <c r="C266" s="129"/>
      <c r="D266" s="129"/>
      <c r="E266" s="129"/>
      <c r="F266" s="129"/>
    </row>
    <row r="267" spans="1:7" ht="18" x14ac:dyDescent="0.25">
      <c r="A267" s="128"/>
      <c r="B267" s="128"/>
      <c r="C267" s="129"/>
      <c r="D267" s="129"/>
      <c r="E267" s="129"/>
      <c r="F267" s="129"/>
    </row>
    <row r="268" spans="1:7" ht="18" x14ac:dyDescent="0.25">
      <c r="A268" s="129"/>
      <c r="B268" s="129"/>
      <c r="C268" s="129"/>
      <c r="D268" s="129"/>
      <c r="E268" s="129"/>
      <c r="F268" s="129"/>
    </row>
    <row r="269" spans="1:7" ht="18" x14ac:dyDescent="0.25">
      <c r="A269" s="129"/>
      <c r="B269" s="129"/>
      <c r="C269" s="129"/>
      <c r="D269" s="129"/>
      <c r="E269" s="129"/>
      <c r="F269" s="129"/>
    </row>
    <row r="270" spans="1:7" ht="18" x14ac:dyDescent="0.25">
      <c r="A270" s="129"/>
      <c r="B270" s="129"/>
      <c r="C270" s="129"/>
      <c r="D270" s="129"/>
      <c r="E270" s="129"/>
      <c r="F270" s="129"/>
    </row>
    <row r="271" spans="1:7" ht="18" x14ac:dyDescent="0.25">
      <c r="A271" s="129"/>
      <c r="B271" s="129"/>
      <c r="C271" s="129"/>
      <c r="D271" s="129"/>
      <c r="E271" s="129"/>
      <c r="F271" s="129"/>
    </row>
    <row r="272" spans="1:7" ht="18" x14ac:dyDescent="0.25">
      <c r="A272" s="129"/>
      <c r="B272" s="129"/>
      <c r="C272" s="129"/>
      <c r="D272" s="129"/>
      <c r="E272" s="129"/>
      <c r="F272" s="129"/>
    </row>
    <row r="273" spans="1:6" ht="18" x14ac:dyDescent="0.25">
      <c r="A273" s="129"/>
      <c r="B273" s="129"/>
      <c r="C273" s="129"/>
      <c r="D273" s="129"/>
      <c r="E273" s="129"/>
      <c r="F273" s="129"/>
    </row>
    <row r="274" spans="1:6" ht="18" x14ac:dyDescent="0.25">
      <c r="A274" s="129"/>
      <c r="B274" s="129"/>
      <c r="C274" s="129"/>
      <c r="D274" s="129"/>
      <c r="E274" s="129"/>
      <c r="F274" s="129"/>
    </row>
    <row r="275" spans="1:6" ht="18" x14ac:dyDescent="0.25">
      <c r="A275" s="129"/>
      <c r="B275" s="129"/>
      <c r="C275" s="129"/>
      <c r="D275" s="129"/>
      <c r="E275" s="129"/>
      <c r="F275" s="129"/>
    </row>
    <row r="276" spans="1:6" ht="18" x14ac:dyDescent="0.25">
      <c r="A276" s="129"/>
      <c r="B276" s="129"/>
      <c r="C276" s="129"/>
      <c r="D276" s="129"/>
      <c r="E276" s="129"/>
      <c r="F276" s="129"/>
    </row>
    <row r="277" spans="1:6" ht="18" x14ac:dyDescent="0.25">
      <c r="A277" s="129"/>
      <c r="B277" s="129"/>
      <c r="C277" s="129"/>
      <c r="D277" s="129"/>
      <c r="E277" s="129"/>
      <c r="F277" s="129"/>
    </row>
    <row r="278" spans="1:6" ht="18" x14ac:dyDescent="0.25">
      <c r="A278" s="129"/>
      <c r="B278" s="129"/>
      <c r="C278" s="129"/>
      <c r="D278" s="129"/>
      <c r="E278" s="129"/>
      <c r="F278" s="129"/>
    </row>
    <row r="279" spans="1:6" ht="18" x14ac:dyDescent="0.25">
      <c r="A279" s="129"/>
      <c r="B279" s="129"/>
      <c r="C279" s="129"/>
      <c r="D279" s="129"/>
      <c r="E279" s="129"/>
      <c r="F279" s="129"/>
    </row>
    <row r="280" spans="1:6" ht="18" x14ac:dyDescent="0.25">
      <c r="A280" s="129"/>
      <c r="B280" s="129"/>
      <c r="C280" s="129"/>
      <c r="D280" s="129"/>
      <c r="E280" s="129"/>
      <c r="F280" s="129"/>
    </row>
    <row r="281" spans="1:6" ht="18" x14ac:dyDescent="0.25">
      <c r="A281" s="129"/>
      <c r="B281" s="129"/>
      <c r="C281" s="129"/>
      <c r="D281" s="129"/>
      <c r="E281" s="129"/>
      <c r="F281" s="129"/>
    </row>
    <row r="282" spans="1:6" ht="18" x14ac:dyDescent="0.25">
      <c r="A282" s="129"/>
      <c r="B282" s="129"/>
      <c r="C282" s="129"/>
      <c r="D282" s="129"/>
      <c r="E282" s="129"/>
      <c r="F282" s="129"/>
    </row>
    <row r="283" spans="1:6" ht="18" x14ac:dyDescent="0.25">
      <c r="A283" s="129"/>
      <c r="B283" s="129"/>
      <c r="C283" s="129"/>
      <c r="D283" s="129"/>
      <c r="E283" s="129"/>
      <c r="F283" s="129"/>
    </row>
    <row r="284" spans="1:6" ht="18" x14ac:dyDescent="0.25">
      <c r="A284" s="129"/>
      <c r="B284" s="129"/>
      <c r="C284" s="129"/>
      <c r="D284" s="129"/>
      <c r="E284" s="129"/>
      <c r="F284" s="129"/>
    </row>
    <row r="285" spans="1:6" ht="18" x14ac:dyDescent="0.25">
      <c r="A285" s="129"/>
      <c r="B285" s="129"/>
      <c r="C285" s="129"/>
      <c r="D285" s="129"/>
      <c r="E285" s="129"/>
      <c r="F285" s="129"/>
    </row>
    <row r="286" spans="1:6" ht="18" x14ac:dyDescent="0.25">
      <c r="A286" s="129"/>
      <c r="B286" s="129"/>
      <c r="C286" s="129"/>
      <c r="D286" s="129"/>
      <c r="E286" s="129"/>
      <c r="F286" s="129"/>
    </row>
    <row r="287" spans="1:6" ht="18" x14ac:dyDescent="0.25">
      <c r="A287" s="129"/>
      <c r="B287" s="129"/>
      <c r="C287" s="129"/>
      <c r="D287" s="129"/>
      <c r="E287" s="129"/>
      <c r="F287" s="129"/>
    </row>
    <row r="288" spans="1:6" ht="18" x14ac:dyDescent="0.25">
      <c r="A288" s="129"/>
      <c r="B288" s="129"/>
      <c r="C288" s="129"/>
      <c r="D288" s="129"/>
      <c r="E288" s="129"/>
      <c r="F288" s="129"/>
    </row>
    <row r="289" spans="1:6" ht="18" x14ac:dyDescent="0.25">
      <c r="A289" s="129"/>
      <c r="B289" s="129"/>
      <c r="C289" s="129"/>
      <c r="D289" s="129"/>
      <c r="E289" s="129"/>
      <c r="F289" s="129"/>
    </row>
    <row r="290" spans="1:6" ht="18" x14ac:dyDescent="0.25">
      <c r="A290" s="129"/>
      <c r="B290" s="129"/>
      <c r="C290" s="129"/>
      <c r="D290" s="129"/>
      <c r="E290" s="129"/>
      <c r="F290" s="129"/>
    </row>
    <row r="291" spans="1:6" ht="15.75" x14ac:dyDescent="0.25">
      <c r="A291" s="57"/>
      <c r="B291" s="57"/>
      <c r="C291" s="57"/>
      <c r="D291" s="57"/>
      <c r="E291" s="57"/>
      <c r="F291" s="57"/>
    </row>
    <row r="292" spans="1:6" ht="15.75" x14ac:dyDescent="0.25">
      <c r="A292" s="57"/>
      <c r="B292" s="57"/>
      <c r="C292" s="57"/>
      <c r="D292" s="57"/>
      <c r="E292" s="57"/>
      <c r="F292" s="57"/>
    </row>
  </sheetData>
  <sheetProtection password="C5FE" sheet="1" objects="1" scenarios="1" selectLockedCells="1"/>
  <mergeCells count="49">
    <mergeCell ref="C258:D258"/>
    <mergeCell ref="A1:E1"/>
    <mergeCell ref="C3:D3"/>
    <mergeCell ref="C211:D211"/>
    <mergeCell ref="C214:D214"/>
    <mergeCell ref="C233:D233"/>
    <mergeCell ref="C165:D165"/>
    <mergeCell ref="C187:D187"/>
    <mergeCell ref="C190:D190"/>
    <mergeCell ref="C195:D195"/>
    <mergeCell ref="C213:D213"/>
    <mergeCell ref="C4:D4"/>
    <mergeCell ref="C11:D11"/>
    <mergeCell ref="C25:D25"/>
    <mergeCell ref="C46:D46"/>
    <mergeCell ref="C70:D70"/>
    <mergeCell ref="C198:D198"/>
    <mergeCell ref="C196:D196"/>
    <mergeCell ref="C252:D252"/>
    <mergeCell ref="C255:D255"/>
    <mergeCell ref="C167:D167"/>
    <mergeCell ref="C199:D199"/>
    <mergeCell ref="C171:D171"/>
    <mergeCell ref="C175:D175"/>
    <mergeCell ref="C178:D178"/>
    <mergeCell ref="C173:D173"/>
    <mergeCell ref="C183:D183"/>
    <mergeCell ref="C193:D193"/>
    <mergeCell ref="C181:D181"/>
    <mergeCell ref="C184:D184"/>
    <mergeCell ref="C119:D119"/>
    <mergeCell ref="C95:F95"/>
    <mergeCell ref="C153:D153"/>
    <mergeCell ref="C159:D159"/>
    <mergeCell ref="C156:D156"/>
    <mergeCell ref="C163:D163"/>
    <mergeCell ref="C161:D161"/>
    <mergeCell ref="C129:D129"/>
    <mergeCell ref="C155:D155"/>
    <mergeCell ref="C158:D158"/>
    <mergeCell ref="C84:D84"/>
    <mergeCell ref="C82:D82"/>
    <mergeCell ref="C93:D93"/>
    <mergeCell ref="C9:D9"/>
    <mergeCell ref="C23:D23"/>
    <mergeCell ref="C30:D30"/>
    <mergeCell ref="C37:D37"/>
    <mergeCell ref="C44:D44"/>
    <mergeCell ref="C52:D5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0"/>
  <sheetViews>
    <sheetView topLeftCell="A82" workbookViewId="0">
      <selection activeCell="C88" sqref="C88"/>
    </sheetView>
  </sheetViews>
  <sheetFormatPr defaultRowHeight="15" x14ac:dyDescent="0.25"/>
  <cols>
    <col min="1" max="1" width="5.85546875" style="4" customWidth="1"/>
    <col min="2" max="2" width="10.140625" style="8" customWidth="1"/>
    <col min="3" max="3" width="28.5703125" style="4" customWidth="1"/>
    <col min="4" max="4" width="30.42578125" style="4" customWidth="1"/>
    <col min="5" max="5" width="15.42578125" style="4" customWidth="1"/>
  </cols>
  <sheetData>
    <row r="1" spans="1:16" ht="15.75" x14ac:dyDescent="0.25">
      <c r="A1" s="32" t="s">
        <v>287</v>
      </c>
    </row>
    <row r="2" spans="1:16" ht="15.75" x14ac:dyDescent="0.25">
      <c r="A2" s="22"/>
    </row>
    <row r="3" spans="1:16" ht="15.75" x14ac:dyDescent="0.25">
      <c r="A3" s="596" t="s">
        <v>288</v>
      </c>
      <c r="B3" s="596"/>
      <c r="C3" s="596"/>
      <c r="D3" s="596"/>
      <c r="E3" s="596"/>
    </row>
    <row r="4" spans="1:16" ht="15.75" x14ac:dyDescent="0.25">
      <c r="A4" s="596" t="s">
        <v>289</v>
      </c>
      <c r="B4" s="596"/>
      <c r="C4" s="596"/>
      <c r="D4" s="596"/>
      <c r="E4" s="596"/>
    </row>
    <row r="5" spans="1:16" ht="15.75" x14ac:dyDescent="0.25">
      <c r="A5" s="22"/>
    </row>
    <row r="6" spans="1:16" ht="53.25" customHeight="1" x14ac:dyDescent="0.25">
      <c r="A6" s="601" t="s">
        <v>1063</v>
      </c>
      <c r="B6" s="601"/>
      <c r="C6" s="601"/>
      <c r="D6" s="601"/>
      <c r="E6" s="601"/>
      <c r="F6" s="349"/>
      <c r="G6" s="349"/>
      <c r="H6" s="349"/>
      <c r="I6" s="349"/>
      <c r="J6" s="349"/>
      <c r="K6" s="349"/>
      <c r="L6" s="349"/>
      <c r="M6" s="349"/>
      <c r="N6" s="349"/>
      <c r="O6" s="349"/>
    </row>
    <row r="7" spans="1:16" ht="48.75" customHeight="1" thickBot="1" x14ac:dyDescent="0.3">
      <c r="A7" s="600" t="s">
        <v>290</v>
      </c>
      <c r="B7" s="600"/>
      <c r="C7" s="600"/>
      <c r="D7" s="600"/>
      <c r="E7" s="600"/>
      <c r="F7" s="58"/>
      <c r="G7" s="58"/>
      <c r="H7" s="58"/>
      <c r="I7" s="58"/>
      <c r="J7" s="58"/>
      <c r="K7" s="58"/>
      <c r="L7" s="58"/>
      <c r="M7" s="58"/>
      <c r="N7" s="58"/>
      <c r="O7" s="58"/>
      <c r="P7" s="58"/>
    </row>
    <row r="8" spans="1:16" ht="65.25" customHeight="1" thickBot="1" x14ac:dyDescent="0.3">
      <c r="A8" s="373" t="s">
        <v>1</v>
      </c>
      <c r="B8" s="374" t="s">
        <v>2</v>
      </c>
      <c r="C8" s="374" t="s">
        <v>4</v>
      </c>
      <c r="D8" s="374" t="s">
        <v>291</v>
      </c>
      <c r="E8" s="375" t="s">
        <v>1062</v>
      </c>
    </row>
    <row r="9" spans="1:16" ht="18.75" customHeight="1" x14ac:dyDescent="0.25">
      <c r="A9" s="376">
        <v>1</v>
      </c>
      <c r="B9" s="371" t="s">
        <v>7</v>
      </c>
      <c r="C9" s="372" t="str">
        <f>'F 1'!D13</f>
        <v>Visi PS:</v>
      </c>
      <c r="D9" s="372"/>
      <c r="E9" s="377"/>
    </row>
    <row r="10" spans="1:16" x14ac:dyDescent="0.25">
      <c r="A10" s="378">
        <v>2</v>
      </c>
      <c r="B10" s="369" t="s">
        <v>8</v>
      </c>
      <c r="C10" s="370" t="str">
        <f>'F 1'!D14</f>
        <v>Sasaran …</v>
      </c>
      <c r="D10" s="172"/>
      <c r="E10" s="379"/>
    </row>
    <row r="11" spans="1:16" x14ac:dyDescent="0.25">
      <c r="A11" s="378">
        <v>3</v>
      </c>
      <c r="B11" s="369">
        <v>1.2</v>
      </c>
      <c r="C11" s="172" t="str">
        <f>'F 1'!D15</f>
        <v>Sosialisasi dilakukan dengan …</v>
      </c>
      <c r="D11" s="172"/>
      <c r="E11" s="379"/>
    </row>
    <row r="12" spans="1:16" x14ac:dyDescent="0.25">
      <c r="A12" s="378">
        <v>4</v>
      </c>
      <c r="B12" s="369">
        <v>2.1</v>
      </c>
      <c r="C12" s="172" t="str">
        <f>'F 1'!D16</f>
        <v>Tata pamong …</v>
      </c>
      <c r="D12" s="172"/>
      <c r="E12" s="379"/>
    </row>
    <row r="13" spans="1:16" x14ac:dyDescent="0.25">
      <c r="A13" s="378">
        <v>5</v>
      </c>
      <c r="B13" s="369">
        <v>2.2000000000000002</v>
      </c>
      <c r="C13" s="172" t="str">
        <f>'F 1'!D17</f>
        <v>Kepemimpinan PS</v>
      </c>
      <c r="D13" s="172"/>
      <c r="E13" s="379"/>
    </row>
    <row r="14" spans="1:16" x14ac:dyDescent="0.25">
      <c r="A14" s="378">
        <v>6</v>
      </c>
      <c r="B14" s="369">
        <v>2.2999999999999998</v>
      </c>
      <c r="C14" s="339" t="str">
        <f>'F 1'!D18</f>
        <v>Sistem pengelolaan PS</v>
      </c>
      <c r="D14" s="172"/>
      <c r="E14" s="379"/>
    </row>
    <row r="15" spans="1:16" x14ac:dyDescent="0.25">
      <c r="A15" s="378">
        <v>7</v>
      </c>
      <c r="B15" s="369">
        <v>2.4</v>
      </c>
      <c r="C15" s="172" t="str">
        <f>'F 1'!D19</f>
        <v>Pelaksanaan penjaminan mutu</v>
      </c>
      <c r="D15" s="172"/>
      <c r="E15" s="379"/>
    </row>
    <row r="16" spans="1:16" x14ac:dyDescent="0.25">
      <c r="A16" s="378">
        <v>8</v>
      </c>
      <c r="B16" s="369">
        <v>2.5</v>
      </c>
      <c r="C16" s="172" t="str">
        <f>'F 1'!D20</f>
        <v xml:space="preserve">Umpan balik diperoleh </v>
      </c>
      <c r="D16" s="172"/>
      <c r="E16" s="379"/>
    </row>
    <row r="17" spans="1:5" ht="25.5" x14ac:dyDescent="0.25">
      <c r="A17" s="378">
        <v>9</v>
      </c>
      <c r="B17" s="369">
        <v>2.6</v>
      </c>
      <c r="C17" s="339" t="str">
        <f>'F 1'!D21</f>
        <v>Upaya yang dilakukan untuk keberlanjutan PS:</v>
      </c>
      <c r="D17" s="172"/>
      <c r="E17" s="379"/>
    </row>
    <row r="18" spans="1:5" ht="63.75" x14ac:dyDescent="0.25">
      <c r="A18" s="378">
        <v>10</v>
      </c>
      <c r="B18" s="369" t="s">
        <v>15</v>
      </c>
      <c r="C18" s="339" t="str">
        <f>'F 1'!D22</f>
        <v>Jumlah calon yang ikut seleksi = 212,daya tampung PS = 200. Rasio calon mahasiswa yang ikut seleksi : daya tampung  = 001</v>
      </c>
      <c r="D18" s="172"/>
      <c r="E18" s="379"/>
    </row>
    <row r="19" spans="1:5" ht="63.75" x14ac:dyDescent="0.25">
      <c r="A19" s="378">
        <v>11</v>
      </c>
      <c r="B19" s="369" t="s">
        <v>17</v>
      </c>
      <c r="C19" s="339" t="str">
        <f>'F 1'!D23</f>
        <v>Rasio mahasiswa baru reguler yang melakukan registrasi : calon mahasiswa baru reguler yang lulus seleksi = 95 / 161 = 001.</v>
      </c>
      <c r="D19" s="172"/>
      <c r="E19" s="379"/>
    </row>
    <row r="20" spans="1:5" ht="38.25" x14ac:dyDescent="0.25">
      <c r="A20" s="378">
        <v>12</v>
      </c>
      <c r="B20" s="369" t="s">
        <v>19</v>
      </c>
      <c r="C20" s="339" t="str">
        <f>'F 1'!D24</f>
        <v>Rasio mahasiswa baru transfer terhadap mahasiswa baru bukan transfer = 34 / 95 = 000</v>
      </c>
      <c r="D20" s="172"/>
      <c r="E20" s="379"/>
    </row>
    <row r="21" spans="1:5" ht="38.25" x14ac:dyDescent="0.25">
      <c r="A21" s="378">
        <v>13</v>
      </c>
      <c r="B21" s="369" t="s">
        <v>21</v>
      </c>
      <c r="C21" s="339" t="str">
        <f>'F 1'!D25</f>
        <v>Rata-rata Indeks Prestasi Kumulatif (IPK) selama lima tahun terakhir = 003</v>
      </c>
      <c r="D21" s="172"/>
      <c r="E21" s="379"/>
    </row>
    <row r="22" spans="1:5" ht="25.5" x14ac:dyDescent="0.25">
      <c r="A22" s="378">
        <v>14</v>
      </c>
      <c r="B22" s="369" t="s">
        <v>23</v>
      </c>
      <c r="C22" s="339" t="str">
        <f>'F 1'!D26</f>
        <v xml:space="preserve">Penerimaan mahasiswa non reguler </v>
      </c>
      <c r="D22" s="172"/>
      <c r="E22" s="379"/>
    </row>
    <row r="23" spans="1:5" ht="38.25" x14ac:dyDescent="0.25">
      <c r="A23" s="378">
        <v>15</v>
      </c>
      <c r="B23" s="369" t="s">
        <v>25</v>
      </c>
      <c r="C23" s="339" t="str">
        <f>'F 1'!D27</f>
        <v>Penghargaan atas prestasi mahasiswa di bidang nalar, minat, dan bakat:</v>
      </c>
      <c r="D23" s="172"/>
      <c r="E23" s="379"/>
    </row>
    <row r="24" spans="1:5" ht="38.25" x14ac:dyDescent="0.25">
      <c r="A24" s="378">
        <v>16</v>
      </c>
      <c r="B24" s="369" t="s">
        <v>27</v>
      </c>
      <c r="C24" s="339" t="str">
        <f>'F 1'!D28</f>
        <v>Persentase kelulusan tepat waktu (KTW) = (8 / 75) x 100 = 011%.</v>
      </c>
      <c r="D24" s="172"/>
      <c r="E24" s="379"/>
    </row>
    <row r="25" spans="1:5" ht="38.25" x14ac:dyDescent="0.25">
      <c r="A25" s="378">
        <v>17</v>
      </c>
      <c r="B25" s="369" t="s">
        <v>29</v>
      </c>
      <c r="C25" s="339" t="str">
        <f>'F 1'!D29</f>
        <v>Persentase mahasiswa yang DO atau mengundurkan diri = 13 / 82 = 016%</v>
      </c>
      <c r="D25" s="172"/>
      <c r="E25" s="379"/>
    </row>
    <row r="26" spans="1:5" ht="25.5" x14ac:dyDescent="0.25">
      <c r="A26" s="378">
        <v>18</v>
      </c>
      <c r="B26" s="369" t="s">
        <v>31</v>
      </c>
      <c r="C26" s="172" t="str">
        <f>'F 1'!D30</f>
        <v>Jenis layanan PS kepada mahasiswa antara lain:</v>
      </c>
      <c r="D26" s="172"/>
      <c r="E26" s="379"/>
    </row>
    <row r="27" spans="1:5" ht="25.5" x14ac:dyDescent="0.25">
      <c r="A27" s="378">
        <v>19</v>
      </c>
      <c r="B27" s="369" t="s">
        <v>33</v>
      </c>
      <c r="C27" s="172" t="str">
        <f>'F 1'!D31</f>
        <v>Kualitas layanan kepada mahasiswa …</v>
      </c>
      <c r="D27" s="172"/>
      <c r="E27" s="379"/>
    </row>
    <row r="28" spans="1:5" ht="25.5" x14ac:dyDescent="0.25">
      <c r="A28" s="378">
        <v>20</v>
      </c>
      <c r="B28" s="369" t="s">
        <v>35</v>
      </c>
      <c r="C28" s="339" t="str">
        <f>'F 1'!D32</f>
        <v>Upaya pelacakan dan perekaman data lulusan …</v>
      </c>
      <c r="D28" s="172"/>
      <c r="E28" s="379"/>
    </row>
    <row r="29" spans="1:5" ht="25.5" x14ac:dyDescent="0.25">
      <c r="A29" s="378">
        <v>21</v>
      </c>
      <c r="B29" s="369" t="s">
        <v>37</v>
      </c>
      <c r="C29" s="339" t="str">
        <f>'F 1'!D33</f>
        <v>Penggunaan hasil pelacakan untuk perbaikan …</v>
      </c>
      <c r="D29" s="172"/>
      <c r="E29" s="379"/>
    </row>
    <row r="30" spans="1:5" ht="76.5" x14ac:dyDescent="0.25">
      <c r="A30" s="378">
        <v>22</v>
      </c>
      <c r="B30" s="369" t="s">
        <v>39</v>
      </c>
      <c r="C30" s="339" t="str">
        <f>'F 1'!D34</f>
        <v xml:space="preserve"> Pendapat pengguna terhadap kualitas alumni.Respon sangat baik = 071%, respon baik = 014%, respon cukup = 014%, dan respon kurang = 000%.</v>
      </c>
      <c r="D30" s="172"/>
      <c r="E30" s="379"/>
    </row>
    <row r="31" spans="1:5" ht="38.25" x14ac:dyDescent="0.25">
      <c r="A31" s="378">
        <v>23</v>
      </c>
      <c r="B31" s="369" t="s">
        <v>41</v>
      </c>
      <c r="C31" s="339" t="str">
        <f>'F 1'!D35</f>
        <v>Rata-rata waktu tunggu lulusan untuk memperoleh pekerjaan yang pertama = 6 bulan.</v>
      </c>
      <c r="D31" s="172"/>
      <c r="E31" s="379"/>
    </row>
    <row r="32" spans="1:5" ht="38.25" x14ac:dyDescent="0.25">
      <c r="A32" s="378">
        <v>24</v>
      </c>
      <c r="B32" s="369" t="s">
        <v>43</v>
      </c>
      <c r="C32" s="339" t="str">
        <f>'F 1'!D36</f>
        <v>Persentase lulusan yang bekerja sesuai dengan bidang keahliannya = 085%</v>
      </c>
      <c r="D32" s="172"/>
      <c r="E32" s="379"/>
    </row>
    <row r="33" spans="1:5" ht="38.25" x14ac:dyDescent="0.25">
      <c r="A33" s="378">
        <v>25</v>
      </c>
      <c r="B33" s="369" t="s">
        <v>45</v>
      </c>
      <c r="C33" s="339" t="str">
        <f>'F 1'!D37</f>
        <v>Bentuk partisipasi lulusan dan alumni untuk kegiatan akademik:</v>
      </c>
      <c r="D33" s="172"/>
      <c r="E33" s="379"/>
    </row>
    <row r="34" spans="1:5" ht="38.25" x14ac:dyDescent="0.25">
      <c r="A34" s="378">
        <v>26</v>
      </c>
      <c r="B34" s="369" t="s">
        <v>47</v>
      </c>
      <c r="C34" s="339" t="str">
        <f>'F 1'!D38</f>
        <v>Bentuk partisipasi lulusan dan alumni untuk kegiatan non akademik:</v>
      </c>
      <c r="D34" s="172"/>
      <c r="E34" s="379"/>
    </row>
    <row r="35" spans="1:5" ht="76.5" x14ac:dyDescent="0.25">
      <c r="A35" s="378">
        <v>27</v>
      </c>
      <c r="B35" s="369">
        <v>4.0999999999999996</v>
      </c>
      <c r="C35" s="172" t="str">
        <f>'F 1'!D39</f>
        <v>Pedoman tertulis tentang sistem seleksi, perekrutan, penempatan, pengembangan, retensi, dan pemberhentian dosen dan tenaga kependidikan…</v>
      </c>
      <c r="D35" s="172"/>
      <c r="E35" s="379"/>
    </row>
    <row r="36" spans="1:5" ht="51" x14ac:dyDescent="0.25">
      <c r="A36" s="378">
        <v>28</v>
      </c>
      <c r="B36" s="369" t="s">
        <v>50</v>
      </c>
      <c r="C36" s="172" t="str">
        <f>'F 1'!D40</f>
        <v>Pedoman tertulis tentang sistem monitoring dan evaluasi, serta rekam jejak kinerja dosen dan tenaga kependidikan …</v>
      </c>
      <c r="D36" s="172"/>
      <c r="E36" s="379"/>
    </row>
    <row r="37" spans="1:5" ht="38.25" x14ac:dyDescent="0.25">
      <c r="A37" s="378">
        <v>29</v>
      </c>
      <c r="B37" s="369" t="s">
        <v>52</v>
      </c>
      <c r="C37" s="172" t="str">
        <f>'F 1'!D41</f>
        <v>Pelaksanaan monitoring dan evaluasi kinerja dosen di bidang tridarma…</v>
      </c>
      <c r="D37" s="172"/>
      <c r="E37" s="379"/>
    </row>
    <row r="38" spans="1:5" ht="76.5" x14ac:dyDescent="0.25">
      <c r="A38" s="378">
        <v>30</v>
      </c>
      <c r="B38" s="369" t="s">
        <v>54</v>
      </c>
      <c r="C38" s="339" t="str">
        <f>'F 1'!D42</f>
        <v>Jumlah dosen tetap = 6 (1 S1, 2 S2, 3 S3). Persentase dosen tetap berpendidikan (terakhir) S2 dan S3 yang bidang keahliannya sesuai dengan kompetensi PS = 083%</v>
      </c>
      <c r="D38" s="172"/>
      <c r="E38" s="379"/>
    </row>
    <row r="39" spans="1:5" ht="76.5" x14ac:dyDescent="0.25">
      <c r="A39" s="378">
        <v>31</v>
      </c>
      <c r="B39" s="369" t="s">
        <v>56</v>
      </c>
      <c r="C39" s="339" t="str">
        <f>'F 1'!D42</f>
        <v>Jumlah dosen tetap = 6 (1 S1, 2 S2, 3 S3). Persentase dosen tetap berpendidikan (terakhir) S2 dan S3 yang bidang keahliannya sesuai dengan kompetensi PS = 083%</v>
      </c>
      <c r="D39" s="172"/>
      <c r="E39" s="379"/>
    </row>
    <row r="40" spans="1:5" ht="76.5" x14ac:dyDescent="0.25">
      <c r="A40" s="378">
        <v>32</v>
      </c>
      <c r="B40" s="369" t="s">
        <v>58</v>
      </c>
      <c r="C40" s="339" t="str">
        <f>'F 1'!D44</f>
        <v>Persentase dosen tetap yang memiliki jabatan lektor kepala dan guru besar yang bidang keahliannya sesuai dengan kompetensi PS = (2 / 6) x 100% = 033%</v>
      </c>
      <c r="D40" s="172"/>
      <c r="E40" s="379"/>
    </row>
    <row r="41" spans="1:5" ht="38.25" x14ac:dyDescent="0.25">
      <c r="A41" s="378">
        <v>33</v>
      </c>
      <c r="B41" s="369" t="s">
        <v>60</v>
      </c>
      <c r="C41" s="339" t="str">
        <f>'F 1'!D45</f>
        <v>Persentase dosen yang memiliki Sertifikat Pendidik Profesional = (3 / 11) x 100% = 027%</v>
      </c>
      <c r="D41" s="172"/>
      <c r="E41" s="379"/>
    </row>
    <row r="42" spans="1:5" ht="51" x14ac:dyDescent="0.25">
      <c r="A42" s="378">
        <v>34</v>
      </c>
      <c r="B42" s="369" t="s">
        <v>62</v>
      </c>
      <c r="C42" s="339" t="str">
        <f>'F 1'!D46</f>
        <v>Jumlah dosen tetap = 6. Jumlah seluruh mahasiswa PS pada TS = 98. Rasio mahasiswa terhadap dosen tetap = 016</v>
      </c>
      <c r="D42" s="172"/>
      <c r="E42" s="379"/>
    </row>
    <row r="43" spans="1:5" ht="51" x14ac:dyDescent="0.25">
      <c r="A43" s="378">
        <v>35</v>
      </c>
      <c r="B43" s="369" t="s">
        <v>64</v>
      </c>
      <c r="C43" s="339" t="str">
        <f>'F 1'!D47</f>
        <v>Rata-rata beban dosen per semester, atau rata-rata FTE (Fulltime Teaching Equivalent) = 15 sks.</v>
      </c>
      <c r="D43" s="172"/>
      <c r="E43" s="379"/>
    </row>
    <row r="44" spans="1:5" ht="38.25" x14ac:dyDescent="0.25">
      <c r="A44" s="378">
        <v>36</v>
      </c>
      <c r="B44" s="369" t="s">
        <v>65</v>
      </c>
      <c r="C44" s="339" t="str">
        <f>'F 1'!D48</f>
        <v>Sebagian besar dosen mengajar mata kuliah yang sesuai dengan bidang ilmunya.</v>
      </c>
      <c r="D44" s="172"/>
      <c r="E44" s="379"/>
    </row>
    <row r="45" spans="1:5" ht="63.75" x14ac:dyDescent="0.25">
      <c r="A45" s="378">
        <v>37</v>
      </c>
      <c r="B45" s="369" t="s">
        <v>65</v>
      </c>
      <c r="C45" s="339" t="str">
        <f>'F 1'!D49</f>
        <v>Kehadiran dosen tetap dalam perkuliahan. Persentase kehadiran yang direalisasikan terhadap kehadiran yang direncanakan = 097%</v>
      </c>
      <c r="D45" s="172"/>
      <c r="E45" s="379"/>
    </row>
    <row r="46" spans="1:5" ht="51" x14ac:dyDescent="0.25">
      <c r="A46" s="378">
        <v>38</v>
      </c>
      <c r="B46" s="369" t="s">
        <v>68</v>
      </c>
      <c r="C46" s="339" t="str">
        <f>'F 1'!D50</f>
        <v>Persentase jumlah dosen tidak tetap, terhadap jumlah seluruh dosen = (23 / 73) x 100% = 032%</v>
      </c>
      <c r="D46" s="172"/>
      <c r="E46" s="379"/>
    </row>
    <row r="47" spans="1:5" ht="38.25" x14ac:dyDescent="0.25">
      <c r="A47" s="378">
        <v>39</v>
      </c>
      <c r="B47" s="369" t="s">
        <v>70</v>
      </c>
      <c r="C47" s="339" t="str">
        <f>'F 1'!D51</f>
        <v>Sebagian besar dosen tidak tetap telah mengajar mata kuliah yang sesuai bidangnya.</v>
      </c>
      <c r="D47" s="172"/>
      <c r="E47" s="379"/>
    </row>
    <row r="48" spans="1:5" ht="79.5" customHeight="1" x14ac:dyDescent="0.25">
      <c r="A48" s="378">
        <v>40</v>
      </c>
      <c r="B48" s="369" t="s">
        <v>72</v>
      </c>
      <c r="C48" s="339" t="str">
        <f>'F 1'!D52</f>
        <v>Kehadiran dosen tidak tetap dalam perkuliahan. Persentase kehadiran yang direalisasikan terhadap kehadiran yang direncanakan = 098%</v>
      </c>
      <c r="D48" s="172"/>
      <c r="E48" s="379"/>
    </row>
    <row r="49" spans="1:5" ht="63.75" x14ac:dyDescent="0.25">
      <c r="A49" s="378">
        <v>41</v>
      </c>
      <c r="B49" s="369" t="s">
        <v>74</v>
      </c>
      <c r="C49" s="339" t="str">
        <f>'F 1'!D53</f>
        <v>Jumlah tenaga ahli/pakar yang telah diundang sebagai pembicara dalam seminar/pelatihan, pembicara tamu = 5 orang.</v>
      </c>
      <c r="D49" s="172"/>
      <c r="E49" s="379"/>
    </row>
    <row r="50" spans="1:5" ht="51" x14ac:dyDescent="0.25">
      <c r="A50" s="378">
        <v>42</v>
      </c>
      <c r="B50" s="369" t="s">
        <v>76</v>
      </c>
      <c r="C50" s="339" t="str">
        <f>'F 1'!D54</f>
        <v>Jumlah dosen tugas belajar S2 sesuai bidang PS = 4 orang, dan S3 sesuai bidang PS = 0 orang.</v>
      </c>
      <c r="D50" s="172"/>
      <c r="E50" s="379"/>
    </row>
    <row r="51" spans="1:5" ht="76.5" x14ac:dyDescent="0.25">
      <c r="A51" s="378">
        <v>43</v>
      </c>
      <c r="B51" s="369" t="s">
        <v>78</v>
      </c>
      <c r="C51" s="339" t="str">
        <f>'F 1'!D55</f>
        <v>Jumlah dosen tetap yang bidang keahliannya sesuai bidang PS = 6 orang. Jumlah kehadiran sebagai penyaji = 0 kali. Jumlah kehadiran sebagai peserta = 19 kali. SP = (0+19/4 ) = 001</v>
      </c>
      <c r="D51" s="172"/>
      <c r="E51" s="379"/>
    </row>
    <row r="52" spans="1:5" ht="38.25" x14ac:dyDescent="0.25">
      <c r="A52" s="378">
        <v>44</v>
      </c>
      <c r="B52" s="369" t="s">
        <v>79</v>
      </c>
      <c r="C52" s="339" t="str">
        <f>'F 1'!D56</f>
        <v>Prestasi dalam mendapatkan penghargaan hibah dalam tiga tahun terakhir:</v>
      </c>
      <c r="D52" s="172"/>
      <c r="E52" s="379"/>
    </row>
    <row r="53" spans="1:5" ht="38.25" x14ac:dyDescent="0.25">
      <c r="A53" s="378">
        <v>45</v>
      </c>
      <c r="B53" s="369" t="s">
        <v>81</v>
      </c>
      <c r="C53" s="339" t="str">
        <f>'F 1'!D57</f>
        <v>Persentase dosen yang menjadi anggota masyarakat bidang ilmu = 015%</v>
      </c>
      <c r="D53" s="172"/>
      <c r="E53" s="379"/>
    </row>
    <row r="54" spans="1:5" ht="25.5" x14ac:dyDescent="0.25">
      <c r="A54" s="378">
        <v>46</v>
      </c>
      <c r="B54" s="369" t="s">
        <v>83</v>
      </c>
      <c r="C54" s="339" t="str">
        <f>'F 1'!D58</f>
        <v>Jumlah pustakawan = 8 orang, dengan rincian sbb:</v>
      </c>
      <c r="D54" s="172"/>
      <c r="E54" s="379"/>
    </row>
    <row r="55" spans="1:5" ht="38.25" x14ac:dyDescent="0.25">
      <c r="A55" s="378">
        <v>47</v>
      </c>
      <c r="B55" s="369" t="s">
        <v>85</v>
      </c>
      <c r="C55" s="339" t="str">
        <f>'F 1'!D59</f>
        <v>Jumlah tenaga laboran = , teknisi = , operator = , dan programer = .</v>
      </c>
      <c r="D55" s="172"/>
      <c r="E55" s="379"/>
    </row>
    <row r="56" spans="1:5" ht="25.5" x14ac:dyDescent="0.25">
      <c r="A56" s="378">
        <v>48</v>
      </c>
      <c r="B56" s="369" t="s">
        <v>87</v>
      </c>
      <c r="C56" s="339" t="str">
        <f>'F 1'!D60</f>
        <v>Jumlah tenaga administrasi = 2, dengan rincian sebagai berikut:</v>
      </c>
      <c r="D56" s="172"/>
      <c r="E56" s="379"/>
    </row>
    <row r="57" spans="1:5" ht="51" x14ac:dyDescent="0.25">
      <c r="A57" s="378">
        <v>49</v>
      </c>
      <c r="B57" s="369" t="s">
        <v>89</v>
      </c>
      <c r="C57" s="339" t="str">
        <f>'F 1'!D61</f>
        <v xml:space="preserve">Upaya yang telah dilakukan PS untuk meningkatkan kualifikasi dan kompetensi tenaga kependidikan antara lain: </v>
      </c>
      <c r="D57" s="172"/>
      <c r="E57" s="379"/>
    </row>
    <row r="58" spans="1:5" ht="25.5" x14ac:dyDescent="0.25">
      <c r="A58" s="378">
        <v>50</v>
      </c>
      <c r="B58" s="369" t="s">
        <v>91</v>
      </c>
      <c r="C58" s="172" t="str">
        <f>'F 1'!D62</f>
        <v>Kelengkapan dan perumusan kompetensi dalam kurikulum:</v>
      </c>
      <c r="D58" s="172"/>
      <c r="E58" s="379"/>
    </row>
    <row r="59" spans="1:5" ht="25.5" x14ac:dyDescent="0.25">
      <c r="A59" s="378">
        <v>51</v>
      </c>
      <c r="B59" s="369" t="s">
        <v>93</v>
      </c>
      <c r="C59" s="172" t="str">
        <f>'F 1'!D63</f>
        <v>Kesesuaian kurikulum dengan visi dan misi PS:</v>
      </c>
      <c r="D59" s="172"/>
      <c r="E59" s="379"/>
    </row>
    <row r="60" spans="1:5" ht="38.25" x14ac:dyDescent="0.25">
      <c r="A60" s="378">
        <v>52</v>
      </c>
      <c r="B60" s="369" t="s">
        <v>95</v>
      </c>
      <c r="C60" s="172" t="str">
        <f>'F 1'!D64</f>
        <v>Kesesuaian mata kuliah dan urutannya dengan standar kompetensi PS:</v>
      </c>
      <c r="D60" s="172"/>
      <c r="E60" s="379"/>
    </row>
    <row r="61" spans="1:5" ht="76.5" x14ac:dyDescent="0.25">
      <c r="A61" s="378">
        <v>53</v>
      </c>
      <c r="B61" s="369" t="s">
        <v>97</v>
      </c>
      <c r="C61" s="339" t="str">
        <f>'F 1'!D65</f>
        <v>Persentase mata kuliah  yang dalam penentuan nilai akhirnya memberikan bobot pada tugas-tugas (prektikum/praktek, PR atau makalah) ≥ 20% = (98/100) x 100% = 098%</v>
      </c>
      <c r="D61" s="172"/>
      <c r="E61" s="379"/>
    </row>
    <row r="62" spans="1:5" ht="51" x14ac:dyDescent="0.25">
      <c r="A62" s="378">
        <v>54</v>
      </c>
      <c r="B62" s="369" t="s">
        <v>98</v>
      </c>
      <c r="C62" s="172" t="str">
        <f>'F 1'!D66</f>
        <v>Persentase mata kuliah yang memiliki deskripsi, silabus dan SAP = (75/100) x 100% = 075%</v>
      </c>
      <c r="D62" s="172"/>
      <c r="E62" s="379"/>
    </row>
    <row r="63" spans="1:5" ht="51" x14ac:dyDescent="0.25">
      <c r="A63" s="378">
        <v>55</v>
      </c>
      <c r="B63" s="369" t="s">
        <v>100</v>
      </c>
      <c r="C63" s="172" t="str">
        <f>'F 1'!D67</f>
        <v>Rasio sks mata kuliah pilihan yang disediakan terhadap jumlah sks yang diwajibkan = (24/10) = 002 kali.</v>
      </c>
      <c r="D63" s="172"/>
      <c r="E63" s="379"/>
    </row>
    <row r="64" spans="1:5" ht="25.5" x14ac:dyDescent="0.25">
      <c r="A64" s="378">
        <v>56</v>
      </c>
      <c r="B64" s="369" t="s">
        <v>102</v>
      </c>
      <c r="C64" s="172" t="str">
        <f>'F 1'!D68</f>
        <v>Substansi praktikum dan pelaksanaan praktikum.</v>
      </c>
      <c r="D64" s="172"/>
      <c r="E64" s="379"/>
    </row>
    <row r="65" spans="1:5" ht="38.25" x14ac:dyDescent="0.25">
      <c r="A65" s="378">
        <v>57</v>
      </c>
      <c r="B65" s="369" t="s">
        <v>104</v>
      </c>
      <c r="C65" s="339" t="str">
        <f>'F 1'!D69</f>
        <v>Pelaksanaan peninjauan praktikum dalam lima tahun terakhir.</v>
      </c>
      <c r="D65" s="172"/>
      <c r="E65" s="379"/>
    </row>
    <row r="66" spans="1:5" ht="38.25" x14ac:dyDescent="0.25">
      <c r="A66" s="378">
        <v>58</v>
      </c>
      <c r="B66" s="369" t="s">
        <v>106</v>
      </c>
      <c r="C66" s="339" t="str">
        <f>'F 1'!D70</f>
        <v>Penyesuaian kurikulum dengan perkembangan Ipteks dan kebutuhan lapangan kerja.</v>
      </c>
      <c r="D66" s="172"/>
      <c r="E66" s="379"/>
    </row>
    <row r="67" spans="1:5" ht="63.75" x14ac:dyDescent="0.25">
      <c r="A67" s="378">
        <v>59</v>
      </c>
      <c r="B67" s="369" t="s">
        <v>108</v>
      </c>
      <c r="C67" s="172" t="str">
        <f>'F 1'!D71</f>
        <v>Monitoring terhadap proses pembelajaran mencakup: (a) kehadiran mahasiswa, (b) kehadiran dosen, (c) materi kuliah.</v>
      </c>
      <c r="D67" s="172"/>
      <c r="E67" s="379"/>
    </row>
    <row r="68" spans="1:5" ht="25.5" x14ac:dyDescent="0.25">
      <c r="A68" s="378">
        <v>60</v>
      </c>
      <c r="B68" s="369" t="s">
        <v>109</v>
      </c>
      <c r="C68" s="172" t="str">
        <f>'F 1'!D72</f>
        <v>Mekanisme penyusunan materi kuliah.</v>
      </c>
      <c r="D68" s="172"/>
      <c r="E68" s="379"/>
    </row>
    <row r="69" spans="1:5" x14ac:dyDescent="0.25">
      <c r="A69" s="378">
        <v>61</v>
      </c>
      <c r="B69" s="369" t="s">
        <v>111</v>
      </c>
      <c r="C69" s="172" t="str">
        <f>'F 1'!D73</f>
        <v>Mutu soal ujian.</v>
      </c>
      <c r="D69" s="172"/>
      <c r="E69" s="379"/>
    </row>
    <row r="70" spans="1:5" ht="51" x14ac:dyDescent="0.25">
      <c r="A70" s="378">
        <v>62</v>
      </c>
      <c r="B70" s="369" t="s">
        <v>386</v>
      </c>
      <c r="C70" s="339" t="str">
        <f>'F 1'!D74</f>
        <v>Rata-rata banyaknya mahasiswa per dosen pembimbing akademik (PA) = (80/5) = 16 mahasiswa/dosen PA.</v>
      </c>
      <c r="D70" s="172"/>
      <c r="E70" s="379"/>
    </row>
    <row r="71" spans="1:5" ht="25.5" x14ac:dyDescent="0.25">
      <c r="A71" s="378">
        <v>63</v>
      </c>
      <c r="B71" s="369" t="s">
        <v>387</v>
      </c>
      <c r="C71" s="339" t="str">
        <f>'F 1'!D75</f>
        <v>Pelaksanaan kegiatan pembimbingan akademik:</v>
      </c>
      <c r="D71" s="172"/>
      <c r="E71" s="379"/>
    </row>
    <row r="72" spans="1:5" ht="38.25" x14ac:dyDescent="0.25">
      <c r="A72" s="378">
        <v>64</v>
      </c>
      <c r="B72" s="369" t="s">
        <v>388</v>
      </c>
      <c r="C72" s="339" t="str">
        <f>'F 1'!D76</f>
        <v>Jumlah rata-rata pertemuan pembimbingan per mahasiswa per semester = 5 kali.</v>
      </c>
      <c r="D72" s="172"/>
      <c r="E72" s="379"/>
    </row>
    <row r="73" spans="1:5" ht="38.25" x14ac:dyDescent="0.25">
      <c r="A73" s="378">
        <v>65</v>
      </c>
      <c r="B73" s="369" t="s">
        <v>389</v>
      </c>
      <c r="C73" s="339" t="str">
        <f>'F 1'!D77</f>
        <v>Efektivitas kegiatan perwalian/pembimbingan akademik:</v>
      </c>
      <c r="D73" s="172"/>
      <c r="E73" s="379"/>
    </row>
    <row r="74" spans="1:5" ht="38.25" x14ac:dyDescent="0.25">
      <c r="A74" s="378">
        <v>66</v>
      </c>
      <c r="B74" s="369" t="s">
        <v>117</v>
      </c>
      <c r="C74" s="339" t="str">
        <f>'F 1'!D78</f>
        <v>Ketersediaan panduan tugas akhir, sosialisasi dan konsistensi pelaksanaannya.</v>
      </c>
      <c r="D74" s="172"/>
      <c r="E74" s="379"/>
    </row>
    <row r="75" spans="1:5" ht="62.25" customHeight="1" x14ac:dyDescent="0.25">
      <c r="A75" s="378">
        <v>67</v>
      </c>
      <c r="B75" s="369" t="s">
        <v>119</v>
      </c>
      <c r="C75" s="339" t="str">
        <f>'F 1'!D79</f>
        <v>Rata-rata mahasiswa per dosen pembimbing tugas akhir = (19/7) = 003 mahasiswa/dosen TA.</v>
      </c>
      <c r="D75" s="172"/>
      <c r="E75" s="379"/>
    </row>
    <row r="76" spans="1:5" ht="38.25" x14ac:dyDescent="0.25">
      <c r="A76" s="378">
        <v>68</v>
      </c>
      <c r="B76" s="369" t="s">
        <v>121</v>
      </c>
      <c r="C76" s="339" t="str">
        <f>'F 1'!D80</f>
        <v>Rata-rata jumlah pertemuan/pembimbingan TA = 7 kali.</v>
      </c>
      <c r="D76" s="172"/>
      <c r="E76" s="379"/>
    </row>
    <row r="77" spans="1:5" ht="25.5" x14ac:dyDescent="0.25">
      <c r="A77" s="378">
        <v>69</v>
      </c>
      <c r="B77" s="369" t="s">
        <v>122</v>
      </c>
      <c r="C77" s="339" t="str">
        <f>'F 1'!D81</f>
        <v>Kualifikasi akademik dosen pembimbing tugas akhir.</v>
      </c>
      <c r="D77" s="172"/>
      <c r="E77" s="379"/>
    </row>
    <row r="78" spans="1:5" ht="63.75" x14ac:dyDescent="0.25">
      <c r="A78" s="378">
        <v>70</v>
      </c>
      <c r="B78" s="369" t="s">
        <v>124</v>
      </c>
      <c r="C78" s="172" t="str">
        <f>'F 1'!D82</f>
        <v>Dalam kurikulum, tugas akhir direncanakan selesai dalam … semester.  Dalam realisasinya, rata-rata waktu penyelesaian tugas akhir = 4 bulan.</v>
      </c>
      <c r="D78" s="172"/>
      <c r="E78" s="379"/>
    </row>
    <row r="79" spans="1:5" ht="51" x14ac:dyDescent="0.25">
      <c r="A79" s="378">
        <v>71</v>
      </c>
      <c r="B79" s="369">
        <v>5.6</v>
      </c>
      <c r="C79" s="172" t="str">
        <f>'F 1'!D83</f>
        <v xml:space="preserve">Upaya perbaikan sistem pembelajaran yang telah dilakukan selama tiga tahun terakhir antara lain: </v>
      </c>
      <c r="D79" s="172"/>
      <c r="E79" s="379"/>
    </row>
    <row r="80" spans="1:5" ht="63.75" x14ac:dyDescent="0.25">
      <c r="A80" s="378">
        <v>72</v>
      </c>
      <c r="B80" s="369" t="s">
        <v>127</v>
      </c>
      <c r="C80" s="339" t="str">
        <f>'F 1'!D84</f>
        <v>Kebijakan tertulis tentang suasana akademik (otonomi keilmuan, kebebasan akademik, kebebasan mimbar akademik, kemitraan dosen-mahasiswa):…</v>
      </c>
      <c r="D80" s="172"/>
      <c r="E80" s="379"/>
    </row>
    <row r="81" spans="1:5" ht="38.25" x14ac:dyDescent="0.25">
      <c r="A81" s="378">
        <v>73</v>
      </c>
      <c r="B81" s="369" t="s">
        <v>129</v>
      </c>
      <c r="C81" s="339" t="str">
        <f>'F 1'!D85</f>
        <v>Sarana dan prasarana yang mendukung terciptanya suasana akademik yang kondusif:…</v>
      </c>
      <c r="D81" s="172"/>
      <c r="E81" s="379"/>
    </row>
    <row r="82" spans="1:5" ht="51" x14ac:dyDescent="0.25">
      <c r="A82" s="378">
        <v>74</v>
      </c>
      <c r="B82" s="369" t="s">
        <v>131</v>
      </c>
      <c r="C82" s="339" t="str">
        <f>'F 1'!D86</f>
        <v>Program/kegiatan akademik yang mendukung terciptanya suasana akademik yang kondusif:</v>
      </c>
      <c r="D82" s="172"/>
      <c r="E82" s="379"/>
    </row>
    <row r="83" spans="1:5" ht="38.25" x14ac:dyDescent="0.25">
      <c r="A83" s="378">
        <v>75</v>
      </c>
      <c r="B83" s="369" t="s">
        <v>133</v>
      </c>
      <c r="C83" s="339" t="str">
        <f>'F 1'!D87</f>
        <v>Bentuk kegiatan interaksi akademik antara dosen dan mahasiswa:</v>
      </c>
      <c r="D83" s="172"/>
      <c r="E83" s="379"/>
    </row>
    <row r="84" spans="1:5" ht="38.25" x14ac:dyDescent="0.25">
      <c r="A84" s="378">
        <v>76</v>
      </c>
      <c r="B84" s="369" t="s">
        <v>135</v>
      </c>
      <c r="C84" s="339" t="str">
        <f>'F 1'!D88</f>
        <v>Bentuk kegiatan terkait pengembangan perilaku kecendekiawanan antara lain:</v>
      </c>
      <c r="D84" s="172"/>
      <c r="E84" s="379"/>
    </row>
    <row r="85" spans="1:5" ht="38.25" x14ac:dyDescent="0.25">
      <c r="A85" s="378">
        <v>77</v>
      </c>
      <c r="B85" s="369">
        <v>6.1</v>
      </c>
      <c r="C85" s="370" t="str">
        <f>'F 1'!D89</f>
        <v>Keterlibatan program studi dalam perencanaan kegiatan dan pengelolaan dana:</v>
      </c>
      <c r="D85" s="172"/>
      <c r="E85" s="379"/>
    </row>
    <row r="86" spans="1:5" ht="76.5" x14ac:dyDescent="0.25">
      <c r="A86" s="378">
        <v>78</v>
      </c>
      <c r="B86" s="369" t="s">
        <v>138</v>
      </c>
      <c r="C86" s="172" t="str">
        <f>'F 1'!D90</f>
        <v>Total dana untuk kegiatan tridarma per tahun = Rp 532 juta. Jumlah seluruh mahasiswa pada TS = 98 orang. Rata-rata besar dana operasional = Rp 005 juta/mahasiswa.</v>
      </c>
      <c r="D86" s="172"/>
      <c r="E86" s="379"/>
    </row>
    <row r="87" spans="1:5" ht="89.25" x14ac:dyDescent="0.25">
      <c r="A87" s="378">
        <v>79</v>
      </c>
      <c r="B87" s="369" t="s">
        <v>139</v>
      </c>
      <c r="C87" s="339" t="str">
        <f>'F 1'!D91</f>
        <v>Total dana penelitian dalam tiga tahun terakhir = Rp 325 juta. Jumlah dosen tetap dengan keahlian sesuai PS = 6 orang. Rata-rata dana penelitian per dosen per tahun = Rp 018 juta.</v>
      </c>
      <c r="D87" s="172"/>
      <c r="E87" s="379"/>
    </row>
    <row r="88" spans="1:5" ht="63.75" x14ac:dyDescent="0.25">
      <c r="A88" s="378">
        <v>80</v>
      </c>
      <c r="B88" s="369" t="s">
        <v>141</v>
      </c>
      <c r="C88" s="339" t="str">
        <f>'F 1'!D92</f>
        <v>Total dana PkM dalam tiga tahun terakhir = Rp 90 juta. Jumlah dosen tetap PS = 7 orang. Rata-rata dana PkM per dosen per tahun = Rp 004 juta.</v>
      </c>
      <c r="D88" s="172"/>
      <c r="E88" s="379"/>
    </row>
    <row r="89" spans="1:5" ht="76.5" x14ac:dyDescent="0.25">
      <c r="A89" s="378">
        <v>81</v>
      </c>
      <c r="B89" s="369" t="s">
        <v>143</v>
      </c>
      <c r="C89" s="172" t="str">
        <f>'F 1'!D93</f>
        <v>Banyaknya dosen tetap dengan bidang sesuai PS = 11 orang, menempati ruang dosen dengan luas total 72 m2. Dengan demikian rasio luas ruang per dosen = 007 m2/dosen.</v>
      </c>
      <c r="D89" s="172"/>
      <c r="E89" s="379"/>
    </row>
    <row r="90" spans="1:5" ht="25.5" x14ac:dyDescent="0.25">
      <c r="A90" s="378">
        <v>82</v>
      </c>
      <c r="B90" s="369" t="s">
        <v>145</v>
      </c>
      <c r="C90" s="339" t="str">
        <f>'F 1'!D94</f>
        <v>Prasarana yang dimiliki/dapat diakses oleh PS: …</v>
      </c>
      <c r="D90" s="172"/>
      <c r="E90" s="379"/>
    </row>
    <row r="91" spans="1:5" ht="38.25" x14ac:dyDescent="0.25">
      <c r="A91" s="378">
        <v>83</v>
      </c>
      <c r="B91" s="369" t="s">
        <v>147</v>
      </c>
      <c r="C91" s="339" t="str">
        <f>'F 1'!D95</f>
        <v>Prasarana lain yang menunjang yang dimiliki/dapat diakses oleh PS: …</v>
      </c>
      <c r="D91" s="172"/>
      <c r="E91" s="379"/>
    </row>
    <row r="92" spans="1:5" ht="25.5" x14ac:dyDescent="0.25">
      <c r="A92" s="378">
        <v>84</v>
      </c>
      <c r="B92" s="369" t="s">
        <v>149</v>
      </c>
      <c r="C92" s="339" t="str">
        <f>'F 1'!D96</f>
        <v>Jumlah pustaka berupa buku teks yang relevan = 1837 judul.</v>
      </c>
      <c r="D92" s="172"/>
      <c r="E92" s="379"/>
    </row>
    <row r="93" spans="1:5" ht="38.25" x14ac:dyDescent="0.25">
      <c r="A93" s="378">
        <v>85</v>
      </c>
      <c r="B93" s="369" t="s">
        <v>151</v>
      </c>
      <c r="C93" s="339" t="str">
        <f>'F 1'!D97</f>
        <v>Jumlah pustaka berupa disertasi/tesis/skripsi/TA = 208 eksemplar.</v>
      </c>
      <c r="D93" s="172"/>
      <c r="E93" s="379"/>
    </row>
    <row r="94" spans="1:5" ht="25.5" x14ac:dyDescent="0.25">
      <c r="A94" s="378">
        <v>86</v>
      </c>
      <c r="B94" s="369" t="s">
        <v>153</v>
      </c>
      <c r="C94" s="339" t="str">
        <f>'F 1'!D98</f>
        <v>Jumlah judul jurnal ilmiah terakreditasi Dikti = 0 judul.</v>
      </c>
      <c r="D94" s="172"/>
      <c r="E94" s="379"/>
    </row>
    <row r="95" spans="1:5" ht="25.5" x14ac:dyDescent="0.25">
      <c r="A95" s="378">
        <v>87</v>
      </c>
      <c r="B95" s="369" t="s">
        <v>155</v>
      </c>
      <c r="C95" s="339" t="str">
        <f>'F 1'!D99</f>
        <v>Jumlah judul jurnal ilmiah internasional = 1 judul.</v>
      </c>
      <c r="D95" s="172"/>
      <c r="E95" s="379"/>
    </row>
    <row r="96" spans="1:5" ht="25.5" x14ac:dyDescent="0.25">
      <c r="A96" s="378">
        <v>88</v>
      </c>
      <c r="B96" s="369" t="s">
        <v>157</v>
      </c>
      <c r="C96" s="339" t="str">
        <f>'F 1'!D100</f>
        <v>Banyak prosiding seminar = 67 judul.</v>
      </c>
      <c r="D96" s="172"/>
      <c r="E96" s="379"/>
    </row>
    <row r="97" spans="1:14" ht="25.5" x14ac:dyDescent="0.25">
      <c r="A97" s="378">
        <v>89</v>
      </c>
      <c r="B97" s="369" t="s">
        <v>158</v>
      </c>
      <c r="C97" s="339" t="str">
        <f>'F 1'!D101</f>
        <v>Perpustakaan di luar PT yang dapat diakses antara lain: …</v>
      </c>
      <c r="D97" s="172"/>
      <c r="E97" s="379"/>
    </row>
    <row r="98" spans="1:14" ht="38.25" x14ac:dyDescent="0.25">
      <c r="A98" s="378">
        <v>90</v>
      </c>
      <c r="B98" s="369" t="s">
        <v>160</v>
      </c>
      <c r="C98" s="370" t="str">
        <f>'F 1'!D102</f>
        <v xml:space="preserve">Ketersediaan, akses dan pendayagunaan sarana utama di laboratorium. </v>
      </c>
      <c r="D98" s="172"/>
      <c r="E98" s="379"/>
    </row>
    <row r="99" spans="1:14" ht="25.5" x14ac:dyDescent="0.25">
      <c r="A99" s="378">
        <v>91</v>
      </c>
      <c r="B99" s="369" t="s">
        <v>161</v>
      </c>
      <c r="C99" s="172" t="str">
        <f>'F 1'!D103</f>
        <v>Sistem informasi dan fasilitas yang digunakan PS dalam PBM.</v>
      </c>
      <c r="D99" s="172"/>
      <c r="E99" s="379"/>
    </row>
    <row r="100" spans="1:14" ht="112.5" customHeight="1" x14ac:dyDescent="0.25">
      <c r="A100" s="378">
        <v>92</v>
      </c>
      <c r="B100" s="369" t="s">
        <v>162</v>
      </c>
      <c r="C100" s="339" t="str">
        <f>'F 1'!D104</f>
        <v>Persentase jenis data yang dikelola manual =100%, dengan komputer tak terhubung jaringan = 000%, dengan komputer terhubung jaringan lokal = 000%, dan dengan komputer terhubung jaringan luas (internet) = 000%.</v>
      </c>
      <c r="D100" s="172"/>
      <c r="E100" s="379"/>
    </row>
    <row r="101" spans="1:14" ht="106.5" customHeight="1" x14ac:dyDescent="0.25">
      <c r="A101" s="378">
        <v>93</v>
      </c>
      <c r="B101" s="369" t="s">
        <v>164</v>
      </c>
      <c r="C101" s="339" t="str">
        <f>'F 1'!D105</f>
        <v>Penelitian dosen dalam tiga tahun terakhir. Jumlah penelitian dengan biaya LN = 0 judul, biaya luar PT = 0 judul, biaya dari PT/sendiri = 2 judul. Jumlah dosen tetap dengan bidang sesuai PS = 6 orang. Nilai Kasar (NK) = 000</v>
      </c>
      <c r="D101" s="172"/>
      <c r="E101" s="379"/>
    </row>
    <row r="102" spans="1:14" ht="82.5" customHeight="1" x14ac:dyDescent="0.25">
      <c r="A102" s="378">
        <v>94</v>
      </c>
      <c r="B102" s="369" t="s">
        <v>166</v>
      </c>
      <c r="C102" s="339" t="str">
        <f>'F 1'!D106</f>
        <v>Jumlah mahasiswa yang melakukan tugas akhir (TA) = 10 orang. Persentase mahasiswa  tugas akhir yang terlibat dalam penelitian dosen = (0/10) x 100% = 000%.</v>
      </c>
      <c r="D102" s="172"/>
      <c r="E102" s="379"/>
    </row>
    <row r="103" spans="1:14" ht="134.25" customHeight="1" x14ac:dyDescent="0.25">
      <c r="A103" s="378">
        <v>95</v>
      </c>
      <c r="B103" s="369" t="s">
        <v>168</v>
      </c>
      <c r="C103" s="339" t="str">
        <f>'F 1'!D107</f>
        <v>Jumlah artikel ilmiah yang dihasilkan dosen tetap yang sesuai bidang selama tiga tahun. Jumlah dosen yang terlibat dalam penulisan artikel internasional = 0 orang,  nasional = 0 orang, dan bersifat lokal = 12 orang. Jumlah dosen tetap dengan bidang sesuai PS = 6 orang. Nilai Kasar (NK) = 002.</v>
      </c>
      <c r="D103" s="172"/>
      <c r="E103" s="379"/>
    </row>
    <row r="104" spans="1:14" ht="51.75" customHeight="1" x14ac:dyDescent="0.25">
      <c r="A104" s="378">
        <v>96</v>
      </c>
      <c r="B104" s="369" t="s">
        <v>170</v>
      </c>
      <c r="C104" s="339" t="str">
        <f>'F 1'!D108</f>
        <v xml:space="preserve">Karya PS/institusi memperoleh perlindungan HaKI dalam 3 tahun terakhir: </v>
      </c>
      <c r="D104" s="172"/>
      <c r="E104" s="379"/>
    </row>
    <row r="105" spans="1:14" ht="138.75" customHeight="1" x14ac:dyDescent="0.25">
      <c r="A105" s="378">
        <v>97</v>
      </c>
      <c r="B105" s="369" t="s">
        <v>172</v>
      </c>
      <c r="C105" s="339" t="str">
        <f>'F 1'!D109</f>
        <v>Kegiatan PkM oleh dosen tetap yang bidang keahliannya sama dengan PS selama tiga tahun terakhir. Jumlah kegiatan PkM dengan biaya LN = 0 judul, dengan biaya luar PT = 0 judul, dan dengan biaya PT/sendiri = 4 judul. Jumlah dosen tetap dengan bidang sesuai PS = 6 orang. Nilai Kasar (NK) = 001.</v>
      </c>
      <c r="D105" s="172"/>
      <c r="E105" s="379"/>
    </row>
    <row r="106" spans="1:14" ht="25.5" x14ac:dyDescent="0.25">
      <c r="A106" s="378">
        <v>98</v>
      </c>
      <c r="B106" s="369" t="s">
        <v>174</v>
      </c>
      <c r="C106" s="339" t="str">
        <f>'F 1'!D110</f>
        <v>Bentuk keterlibatan mahasiswa dalam kegiatan PkM:</v>
      </c>
      <c r="D106" s="172"/>
      <c r="E106" s="379"/>
    </row>
    <row r="107" spans="1:14" ht="38.25" x14ac:dyDescent="0.25">
      <c r="A107" s="378">
        <v>99</v>
      </c>
      <c r="B107" s="369" t="s">
        <v>176</v>
      </c>
      <c r="C107" s="339" t="str">
        <f>'F 1'!D111</f>
        <v>Kegiatan kerjasama dengan instansi di DN dalam tiga tahun terakhir.</v>
      </c>
      <c r="D107" s="172"/>
      <c r="E107" s="379"/>
    </row>
    <row r="108" spans="1:14" ht="39" thickBot="1" x14ac:dyDescent="0.3">
      <c r="A108" s="380">
        <v>100</v>
      </c>
      <c r="B108" s="381" t="s">
        <v>178</v>
      </c>
      <c r="C108" s="382" t="str">
        <f>'F 1'!D112</f>
        <v>Kegiatan kerjasama dengan instansi di LN dalam tiga tahun terakhir.</v>
      </c>
      <c r="D108" s="392"/>
      <c r="E108" s="383"/>
    </row>
    <row r="109" spans="1:14" ht="20.25" customHeight="1" x14ac:dyDescent="0.25">
      <c r="A109" s="598" t="s">
        <v>293</v>
      </c>
      <c r="B109" s="599"/>
      <c r="C109" s="599"/>
    </row>
    <row r="110" spans="1:14" ht="15.75" x14ac:dyDescent="0.25">
      <c r="A110" s="6"/>
    </row>
    <row r="111" spans="1:14" ht="33.75" customHeight="1" x14ac:dyDescent="0.25">
      <c r="A111" s="601" t="s">
        <v>1070</v>
      </c>
      <c r="B111" s="601"/>
      <c r="C111" s="601"/>
      <c r="D111" s="601"/>
      <c r="E111" s="601"/>
      <c r="F111" s="346"/>
      <c r="G111" s="346"/>
      <c r="H111" s="346"/>
      <c r="I111" s="346"/>
      <c r="J111" s="346"/>
      <c r="K111" s="346"/>
      <c r="L111" s="346"/>
      <c r="M111" s="346"/>
      <c r="N111" s="346"/>
    </row>
    <row r="112" spans="1:14" ht="15.75" x14ac:dyDescent="0.25">
      <c r="D112" s="360" t="s">
        <v>1087</v>
      </c>
      <c r="F112" s="34"/>
    </row>
    <row r="114" spans="1:9" x14ac:dyDescent="0.25">
      <c r="A114" s="5"/>
      <c r="B114" s="9"/>
      <c r="C114" s="5"/>
      <c r="D114" s="3" t="s">
        <v>294</v>
      </c>
      <c r="E114" s="360" t="s">
        <v>373</v>
      </c>
    </row>
    <row r="115" spans="1:9" ht="20.25" customHeight="1" x14ac:dyDescent="0.25">
      <c r="A115" s="385" t="s">
        <v>295</v>
      </c>
      <c r="B115" s="386"/>
      <c r="C115" s="5"/>
      <c r="D115" s="5"/>
    </row>
    <row r="116" spans="1:9" ht="19.5" customHeight="1" x14ac:dyDescent="0.25">
      <c r="A116" s="385" t="s">
        <v>296</v>
      </c>
      <c r="B116" s="346"/>
      <c r="D116" s="133" t="s">
        <v>1089</v>
      </c>
      <c r="F116" s="53"/>
      <c r="G116" s="54"/>
      <c r="H116" s="54"/>
      <c r="I116" s="54"/>
    </row>
    <row r="117" spans="1:9" ht="15.75" x14ac:dyDescent="0.25">
      <c r="A117" s="5"/>
      <c r="B117" s="9"/>
      <c r="D117" s="22"/>
      <c r="F117" s="54"/>
      <c r="G117" s="54"/>
      <c r="H117" s="54"/>
      <c r="I117" s="54"/>
    </row>
    <row r="118" spans="1:9" ht="15.75" x14ac:dyDescent="0.25">
      <c r="A118" s="5"/>
      <c r="B118" s="9"/>
      <c r="D118" s="22"/>
      <c r="F118" s="5"/>
      <c r="G118" s="5"/>
    </row>
    <row r="119" spans="1:9" ht="15.75" x14ac:dyDescent="0.25">
      <c r="A119" s="5"/>
      <c r="B119" s="9"/>
      <c r="D119" s="22"/>
      <c r="F119" s="53"/>
      <c r="G119" s="54"/>
      <c r="H119" s="54"/>
      <c r="I119" s="54"/>
    </row>
    <row r="120" spans="1:9" ht="15.75" x14ac:dyDescent="0.25">
      <c r="A120" s="566" t="s">
        <v>297</v>
      </c>
      <c r="B120" s="597"/>
      <c r="D120" s="133" t="s">
        <v>1081</v>
      </c>
      <c r="F120" s="54"/>
      <c r="G120" s="54"/>
      <c r="H120" s="54"/>
      <c r="I120" s="54"/>
    </row>
  </sheetData>
  <mergeCells count="7">
    <mergeCell ref="A3:E3"/>
    <mergeCell ref="A4:E4"/>
    <mergeCell ref="A120:B120"/>
    <mergeCell ref="A109:C109"/>
    <mergeCell ref="A7:E7"/>
    <mergeCell ref="A6:E6"/>
    <mergeCell ref="A111:E11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6"/>
  <sheetViews>
    <sheetView workbookViewId="0">
      <selection activeCell="D64" sqref="D64"/>
    </sheetView>
  </sheetViews>
  <sheetFormatPr defaultRowHeight="15" x14ac:dyDescent="0.25"/>
  <cols>
    <col min="1" max="1" width="5.85546875" customWidth="1"/>
    <col min="2" max="2" width="10.42578125" customWidth="1"/>
    <col min="3" max="3" width="28" customWidth="1"/>
    <col min="4" max="4" width="29.85546875" customWidth="1"/>
    <col min="5" max="5" width="15.7109375" customWidth="1"/>
  </cols>
  <sheetData>
    <row r="1" spans="1:15" ht="15.75" x14ac:dyDescent="0.25">
      <c r="A1" s="32" t="s">
        <v>1066</v>
      </c>
      <c r="B1" s="8"/>
      <c r="C1" s="4"/>
      <c r="D1" s="4"/>
      <c r="E1" s="4"/>
    </row>
    <row r="2" spans="1:15" ht="15.75" x14ac:dyDescent="0.25">
      <c r="A2" s="22"/>
      <c r="B2" s="8"/>
      <c r="C2" s="4"/>
      <c r="D2" s="4"/>
      <c r="E2" s="4"/>
    </row>
    <row r="3" spans="1:15" ht="15.75" x14ac:dyDescent="0.25">
      <c r="A3" s="596" t="s">
        <v>298</v>
      </c>
      <c r="B3" s="596"/>
      <c r="C3" s="596"/>
      <c r="D3" s="596"/>
      <c r="E3" s="596"/>
    </row>
    <row r="4" spans="1:15" ht="15.75" x14ac:dyDescent="0.25">
      <c r="A4" s="596" t="s">
        <v>289</v>
      </c>
      <c r="B4" s="596"/>
      <c r="C4" s="596"/>
      <c r="D4" s="596"/>
      <c r="E4" s="596"/>
    </row>
    <row r="5" spans="1:15" ht="15.75" x14ac:dyDescent="0.25">
      <c r="A5" s="22"/>
      <c r="B5" s="8"/>
      <c r="C5" s="4"/>
      <c r="D5" s="4"/>
      <c r="E5" s="4"/>
    </row>
    <row r="6" spans="1:15" ht="48" customHeight="1" x14ac:dyDescent="0.25">
      <c r="A6" s="601" t="s">
        <v>1064</v>
      </c>
      <c r="B6" s="601"/>
      <c r="C6" s="601"/>
      <c r="D6" s="601"/>
      <c r="E6" s="601"/>
      <c r="F6" s="346"/>
      <c r="G6" s="346"/>
      <c r="H6" s="346"/>
      <c r="I6" s="346"/>
      <c r="J6" s="346"/>
      <c r="K6" s="346"/>
      <c r="L6" s="346"/>
      <c r="M6" s="346"/>
      <c r="N6" s="346"/>
      <c r="O6" s="346"/>
    </row>
    <row r="7" spans="1:15" ht="33.75" customHeight="1" thickBot="1" x14ac:dyDescent="0.3">
      <c r="A7" s="601" t="s">
        <v>1065</v>
      </c>
      <c r="B7" s="601"/>
      <c r="C7" s="601"/>
      <c r="D7" s="601"/>
      <c r="E7" s="601"/>
      <c r="F7" s="54"/>
      <c r="G7" s="54"/>
      <c r="H7" s="54"/>
      <c r="I7" s="54"/>
      <c r="J7" s="54"/>
      <c r="K7" s="54"/>
      <c r="L7" s="54"/>
      <c r="M7" s="54"/>
      <c r="N7" s="54"/>
      <c r="O7" s="54"/>
    </row>
    <row r="8" spans="1:15" ht="77.25" customHeight="1" thickBot="1" x14ac:dyDescent="0.3">
      <c r="A8" s="373" t="s">
        <v>1</v>
      </c>
      <c r="B8" s="374" t="s">
        <v>2</v>
      </c>
      <c r="C8" s="374" t="s">
        <v>1067</v>
      </c>
      <c r="D8" s="374" t="s">
        <v>1068</v>
      </c>
      <c r="E8" s="375" t="s">
        <v>292</v>
      </c>
    </row>
    <row r="9" spans="1:15" x14ac:dyDescent="0.25">
      <c r="A9" s="389">
        <v>1</v>
      </c>
      <c r="B9" s="371" t="s">
        <v>226</v>
      </c>
      <c r="C9" s="390" t="str">
        <f>'F 3'!D12</f>
        <v>Visi Fakultas: …</v>
      </c>
      <c r="D9" s="391"/>
      <c r="E9" s="377"/>
    </row>
    <row r="10" spans="1:15" x14ac:dyDescent="0.25">
      <c r="A10" s="378">
        <v>2</v>
      </c>
      <c r="B10" s="369" t="s">
        <v>228</v>
      </c>
      <c r="C10" s="339" t="str">
        <f>'F 3'!D13</f>
        <v>Strategi pencapaian sasaran …</v>
      </c>
      <c r="D10" s="387"/>
      <c r="E10" s="379"/>
    </row>
    <row r="11" spans="1:15" ht="25.5" x14ac:dyDescent="0.25">
      <c r="A11" s="378">
        <v>3</v>
      </c>
      <c r="B11" s="369">
        <v>1.2</v>
      </c>
      <c r="C11" s="339" t="str">
        <f>'F 3'!D14</f>
        <v>Sosialisasi dilakukan dengan cara: …</v>
      </c>
      <c r="D11" s="387"/>
      <c r="E11" s="379"/>
    </row>
    <row r="12" spans="1:15" ht="38.25" x14ac:dyDescent="0.25">
      <c r="A12" s="378">
        <v>4</v>
      </c>
      <c r="B12" s="369">
        <v>2.1</v>
      </c>
      <c r="C12" s="339" t="str">
        <f>'F 3'!D15</f>
        <v>Pimpinan Fakultas telah menjalankan tata pamong yang …</v>
      </c>
      <c r="D12" s="387"/>
      <c r="E12" s="379"/>
    </row>
    <row r="13" spans="1:15" ht="25.5" x14ac:dyDescent="0.25">
      <c r="A13" s="378">
        <v>5</v>
      </c>
      <c r="B13" s="369">
        <v>2.2000000000000002</v>
      </c>
      <c r="C13" s="339" t="str">
        <f>'F 3'!D16</f>
        <v>Struktur organisasi terdiri atas unit: …</v>
      </c>
      <c r="D13" s="387"/>
      <c r="E13" s="379"/>
    </row>
    <row r="14" spans="1:15" x14ac:dyDescent="0.25">
      <c r="A14" s="378">
        <v>6</v>
      </c>
      <c r="B14" s="369">
        <v>2.2999999999999998</v>
      </c>
      <c r="C14" s="339" t="str">
        <f>'F 3'!D17</f>
        <v>Kepemimpinan Fakultas …</v>
      </c>
      <c r="D14" s="387"/>
      <c r="E14" s="379"/>
    </row>
    <row r="15" spans="1:15" ht="63.75" x14ac:dyDescent="0.25">
      <c r="A15" s="378">
        <v>7</v>
      </c>
      <c r="B15" s="369">
        <v>2.4</v>
      </c>
      <c r="C15" s="339" t="str">
        <f>'F 3'!D18</f>
        <v xml:space="preserve">Sistem pengelolaan fungsional dan operasional Fakultas mencakup: planning, organizing, staffing, leading, controlling </v>
      </c>
      <c r="D15" s="387"/>
      <c r="E15" s="379"/>
    </row>
    <row r="16" spans="1:15" ht="25.5" x14ac:dyDescent="0.25">
      <c r="A16" s="378">
        <v>8</v>
      </c>
      <c r="B16" s="369" t="s">
        <v>234</v>
      </c>
      <c r="C16" s="339" t="str">
        <f>'F 3'!D19</f>
        <v>Keberadaan dan efektivitas unit pelaksana penjaminan mutu.</v>
      </c>
      <c r="D16" s="387"/>
      <c r="E16" s="379"/>
    </row>
    <row r="17" spans="1:5" ht="25.5" x14ac:dyDescent="0.25">
      <c r="A17" s="378">
        <v>9</v>
      </c>
      <c r="B17" s="369" t="s">
        <v>236</v>
      </c>
      <c r="C17" s="339" t="str">
        <f>'F 3'!D20</f>
        <v>Standar mutu dan pelaksanaannya.</v>
      </c>
      <c r="D17" s="387"/>
      <c r="E17" s="379"/>
    </row>
    <row r="18" spans="1:5" ht="25.5" x14ac:dyDescent="0.25">
      <c r="A18" s="378">
        <v>10</v>
      </c>
      <c r="B18" s="369" t="s">
        <v>238</v>
      </c>
      <c r="C18" s="339" t="str">
        <f>'F 3'!D21</f>
        <v>Sistem penerimaan mahasiswa baru.</v>
      </c>
      <c r="D18" s="387"/>
      <c r="E18" s="379"/>
    </row>
    <row r="19" spans="1:5" ht="38.25" x14ac:dyDescent="0.25">
      <c r="A19" s="378">
        <v>11</v>
      </c>
      <c r="B19" s="369" t="s">
        <v>23</v>
      </c>
      <c r="C19" s="339" t="str">
        <f>'F 3'!D22</f>
        <v xml:space="preserve">Rasio mahasiswa baru transfer terhadap mahasiswa baru bukan transfer = (7/171) = 000. </v>
      </c>
      <c r="D19" s="387"/>
      <c r="E19" s="379"/>
    </row>
    <row r="20" spans="1:5" ht="25.5" x14ac:dyDescent="0.25">
      <c r="A20" s="378">
        <v>12</v>
      </c>
      <c r="B20" s="369" t="s">
        <v>25</v>
      </c>
      <c r="C20" s="339" t="str">
        <f>'F 3'!D23</f>
        <v>Motivasi penerimaan mahasiswa transfer:</v>
      </c>
      <c r="D20" s="387"/>
      <c r="E20" s="379"/>
    </row>
    <row r="21" spans="1:5" ht="38.25" x14ac:dyDescent="0.25">
      <c r="A21" s="378">
        <v>13</v>
      </c>
      <c r="B21" s="369" t="s">
        <v>31</v>
      </c>
      <c r="C21" s="339" t="str">
        <f>'F 3'!D24</f>
        <v>Rata-rata masa studi lulusan = …, dan rata-rata IPK lulusan = …</v>
      </c>
      <c r="D21" s="387"/>
      <c r="E21" s="379"/>
    </row>
    <row r="22" spans="1:5" ht="25.5" x14ac:dyDescent="0.25">
      <c r="A22" s="378">
        <v>14</v>
      </c>
      <c r="B22" s="369" t="s">
        <v>33</v>
      </c>
      <c r="C22" s="339" t="str">
        <f>'F 3'!D25</f>
        <v>Upaya pengembangan dan peningkatan mutu lulusan: …</v>
      </c>
      <c r="D22" s="387"/>
      <c r="E22" s="379"/>
    </row>
    <row r="23" spans="1:5" ht="102" x14ac:dyDescent="0.25">
      <c r="A23" s="378">
        <v>15</v>
      </c>
      <c r="B23" s="369" t="s">
        <v>244</v>
      </c>
      <c r="C23" s="339" t="str">
        <f>'F 3'!D26</f>
        <v>Jumlah total dosen tetap = 27 (7 S1, 16 S2, 4 S3). Pengelompokan berdasarkan jabatan akademik: … orang tanpa jabatan akademik, … orang Asisten Ahli, … orang Lektor, … orang Lektor Kepala, dan … orang Guru Besar.</v>
      </c>
      <c r="D23" s="387"/>
      <c r="E23" s="379"/>
    </row>
    <row r="24" spans="1:5" ht="38.25" x14ac:dyDescent="0.25">
      <c r="A24" s="378">
        <v>16</v>
      </c>
      <c r="B24" s="369" t="s">
        <v>246</v>
      </c>
      <c r="C24" s="339" t="str">
        <f>'F 3'!D27</f>
        <v>Upaya pengembangan dan peningkatan mutu dosen tetap dilakukan dengan: …</v>
      </c>
      <c r="D24" s="387"/>
      <c r="E24" s="379"/>
    </row>
    <row r="25" spans="1:5" ht="89.25" x14ac:dyDescent="0.25">
      <c r="A25" s="378">
        <v>17</v>
      </c>
      <c r="B25" s="369" t="s">
        <v>248</v>
      </c>
      <c r="C25" s="339" t="str">
        <f>'F 3'!D28</f>
        <v>Jumlah total dosen tetap = 27 (7 S1, 16 S2, 4 S3). Jumlah dosen tetap yang tugas belajar S2 = 5 orang, dan yang tugas belajar S3 = 4 orang. Banyaknya program studi di Fakultas = 4.</v>
      </c>
      <c r="D25" s="387"/>
      <c r="E25" s="379"/>
    </row>
    <row r="26" spans="1:5" ht="38.25" x14ac:dyDescent="0.25">
      <c r="A26" s="378">
        <v>18</v>
      </c>
      <c r="B26" s="369" t="s">
        <v>250</v>
      </c>
      <c r="C26" s="339" t="str">
        <f>'F 3'!D29</f>
        <v xml:space="preserve">Upaya fakultas dalam mengembangkan tenaga dosen tetap: </v>
      </c>
      <c r="D26" s="387"/>
      <c r="E26" s="379"/>
    </row>
    <row r="27" spans="1:5" ht="25.5" x14ac:dyDescent="0.25">
      <c r="A27" s="378">
        <v>19</v>
      </c>
      <c r="B27" s="369">
        <v>4.2</v>
      </c>
      <c r="C27" s="339" t="str">
        <f>'F 3'!D30</f>
        <v>Kecukupan dan kualifikasi tenaga kependidikan.</v>
      </c>
      <c r="D27" s="387"/>
      <c r="E27" s="379"/>
    </row>
    <row r="28" spans="1:5" ht="63.75" x14ac:dyDescent="0.25">
      <c r="A28" s="378">
        <v>20</v>
      </c>
      <c r="B28" s="369">
        <v>5.0999999999999996</v>
      </c>
      <c r="C28" s="339" t="str">
        <f>'F 3'!D31</f>
        <v xml:space="preserve">Bentuk dukungan Fakultas/Sekolah Tinggi dalam penyusunan, implementasi, dan pengembangan kurikulum antara lain: </v>
      </c>
      <c r="D28" s="387"/>
      <c r="E28" s="379"/>
    </row>
    <row r="29" spans="1:5" ht="38.25" x14ac:dyDescent="0.25">
      <c r="A29" s="378">
        <v>21</v>
      </c>
      <c r="B29" s="369">
        <v>5.2</v>
      </c>
      <c r="C29" s="339" t="str">
        <f>'F 3'!D32</f>
        <v>Monitoring dan evaluasi yang dilakukan oleh pihak Fakultas: …</v>
      </c>
      <c r="D29" s="387"/>
      <c r="E29" s="379"/>
    </row>
    <row r="30" spans="1:5" ht="38.25" x14ac:dyDescent="0.25">
      <c r="A30" s="378">
        <v>22</v>
      </c>
      <c r="B30" s="369">
        <v>5.3</v>
      </c>
      <c r="C30" s="339" t="str">
        <f>'F 3'!D33</f>
        <v>Bentuk dukungan Fakultas dalam peningkatan suasana akademik antara lain:</v>
      </c>
      <c r="D30" s="387"/>
      <c r="E30" s="379"/>
    </row>
    <row r="31" spans="1:5" ht="89.25" x14ac:dyDescent="0.25">
      <c r="A31" s="378">
        <v>23</v>
      </c>
      <c r="B31" s="369" t="s">
        <v>256</v>
      </c>
      <c r="C31" s="339" t="str">
        <f>'F 3'!D34</f>
        <v>Penggunaan dana untuk operasional (pendidikan, penelitian, pelayanan/ pengabdian kepada masyarakat). Jumlah dana operasional per mhs per tahun  = Rp 005 juta per tahun.</v>
      </c>
      <c r="D31" s="387"/>
      <c r="E31" s="379"/>
    </row>
    <row r="32" spans="1:5" ht="63.75" x14ac:dyDescent="0.25">
      <c r="A32" s="378">
        <v>24</v>
      </c>
      <c r="B32" s="369" t="s">
        <v>258</v>
      </c>
      <c r="C32" s="339" t="str">
        <f>'F 3'!D35</f>
        <v>Dana penelitian dalam tiga tahun terakhir. Rata-rata dana penelitian per dosen tetap per tahun = Rp 000 juta per dosen tetap per tahun.</v>
      </c>
      <c r="D32" s="387"/>
      <c r="E32" s="379"/>
    </row>
    <row r="33" spans="1:5" ht="51" x14ac:dyDescent="0.25">
      <c r="A33" s="378">
        <v>25</v>
      </c>
      <c r="B33" s="369" t="s">
        <v>260</v>
      </c>
      <c r="C33" s="339" t="str">
        <f>'F 3'!D36</f>
        <v>Dana kegiatan PkM dalam tiga tahun terakhir. Rata-rata dana PkM per dosen per tahun = Rp 000 juta per dosen per tahun.</v>
      </c>
      <c r="D33" s="387"/>
      <c r="E33" s="379"/>
    </row>
    <row r="34" spans="1:5" ht="25.5" x14ac:dyDescent="0.25">
      <c r="A34" s="378">
        <v>26</v>
      </c>
      <c r="B34" s="369" t="s">
        <v>262</v>
      </c>
      <c r="C34" s="339" t="str">
        <f>'F 3'!D37</f>
        <v>Kecukupan dana yang diperoleh Fakultas/Sekolah Tinggi.</v>
      </c>
      <c r="D34" s="387"/>
      <c r="E34" s="379"/>
    </row>
    <row r="35" spans="1:5" ht="25.5" x14ac:dyDescent="0.25">
      <c r="A35" s="378">
        <v>27</v>
      </c>
      <c r="B35" s="369" t="s">
        <v>264</v>
      </c>
      <c r="C35" s="339" t="str">
        <f>'F 3'!D38</f>
        <v>Upaya pengembangan dana oleh Fakultas/Sekolah Tinggi.</v>
      </c>
      <c r="D35" s="387"/>
      <c r="E35" s="379"/>
    </row>
    <row r="36" spans="1:5" ht="38.25" x14ac:dyDescent="0.25">
      <c r="A36" s="378">
        <v>28</v>
      </c>
      <c r="B36" s="369" t="s">
        <v>138</v>
      </c>
      <c r="C36" s="339" t="str">
        <f>'F 3'!D39</f>
        <v>Investasi untuk pengadaan sarana dalam tiga tahun terakhir:</v>
      </c>
      <c r="D36" s="387"/>
      <c r="E36" s="379"/>
    </row>
    <row r="37" spans="1:5" ht="38.25" x14ac:dyDescent="0.25">
      <c r="A37" s="378">
        <v>29</v>
      </c>
      <c r="B37" s="369" t="s">
        <v>139</v>
      </c>
      <c r="C37" s="339" t="str">
        <f>'F 3'!D40</f>
        <v>Rencana investasi untuk pengadaan sarana dalam lima tahun ke depan.</v>
      </c>
      <c r="D37" s="387"/>
      <c r="E37" s="379"/>
    </row>
    <row r="38" spans="1:5" ht="38.25" x14ac:dyDescent="0.25">
      <c r="A38" s="378">
        <v>30</v>
      </c>
      <c r="B38" s="369" t="s">
        <v>143</v>
      </c>
      <c r="C38" s="339" t="str">
        <f>'F 3'!D41</f>
        <v>Mutu, kecukupan, akses prasarana yang dikelola Fakultas untuk PS.</v>
      </c>
      <c r="D38" s="387"/>
      <c r="E38" s="379"/>
    </row>
    <row r="39" spans="1:5" ht="38.25" x14ac:dyDescent="0.25">
      <c r="A39" s="378">
        <v>31</v>
      </c>
      <c r="B39" s="369" t="s">
        <v>145</v>
      </c>
      <c r="C39" s="339" t="str">
        <f>'F 3'!D42</f>
        <v>Rencana pengembangan prasarana oleh Fakultas untuk PS:…</v>
      </c>
      <c r="D39" s="387"/>
      <c r="E39" s="379"/>
    </row>
    <row r="40" spans="1:5" ht="76.5" x14ac:dyDescent="0.25">
      <c r="A40" s="378">
        <v>32</v>
      </c>
      <c r="B40" s="369" t="s">
        <v>149</v>
      </c>
      <c r="C40" s="339" t="str">
        <f>'F 3'!D43</f>
        <v>Sistem informasi dan fasilitas yang digunakan Fakultas/Sekolah Tinggi dalam proses pembelajaran (hardware, software, e-learning, perpustakaan, dll.)</v>
      </c>
      <c r="D40" s="387"/>
      <c r="E40" s="379"/>
    </row>
    <row r="41" spans="1:5" ht="51" x14ac:dyDescent="0.25">
      <c r="A41" s="378">
        <v>33</v>
      </c>
      <c r="B41" s="369" t="s">
        <v>151</v>
      </c>
      <c r="C41" s="339" t="str">
        <f>'F 3'!D44</f>
        <v>Sistem informasi dan fasilitas yang digunakan Fakultas dalam administrasi (akademik, keuangan, personil, dll.).</v>
      </c>
      <c r="D41" s="387"/>
      <c r="E41" s="379"/>
    </row>
    <row r="42" spans="1:5" ht="127.5" x14ac:dyDescent="0.25">
      <c r="A42" s="378">
        <v>34</v>
      </c>
      <c r="B42" s="369" t="s">
        <v>158</v>
      </c>
      <c r="C42" s="339" t="str">
        <f>'F 3'!D45</f>
        <v>Aksesibilitas data dalam sistem informasi. Dari 12 jenis data, persentase yang dikelola secara manual = 000%, dengan komputer tanpa jaringan = 100%, dengan komputer yang terhubung dengan jaringan lokal = 000%, dan dengan komputer yang terhubung jaringan luas (internet) = 000%.</v>
      </c>
      <c r="D42" s="387"/>
      <c r="E42" s="379"/>
    </row>
    <row r="43" spans="1:5" ht="38.25" x14ac:dyDescent="0.25">
      <c r="A43" s="378">
        <v>35</v>
      </c>
      <c r="B43" s="369" t="s">
        <v>160</v>
      </c>
      <c r="C43" s="339" t="str">
        <f>'F 3'!D46</f>
        <v>Media/cara penyebaran informasi untuk sivitas akademika di Fakultas: …</v>
      </c>
      <c r="D43" s="387"/>
      <c r="E43" s="379"/>
    </row>
    <row r="44" spans="1:5" ht="38.25" x14ac:dyDescent="0.25">
      <c r="A44" s="378">
        <v>36</v>
      </c>
      <c r="B44" s="369" t="s">
        <v>273</v>
      </c>
      <c r="C44" s="339" t="str">
        <f>'F 3'!D47</f>
        <v>Rencana strategis pengembangan sistem informasi jangka panjang: …</v>
      </c>
      <c r="D44" s="387"/>
      <c r="E44" s="379"/>
    </row>
    <row r="45" spans="1:5" ht="102" x14ac:dyDescent="0.25">
      <c r="A45" s="378">
        <v>37</v>
      </c>
      <c r="B45" s="369" t="s">
        <v>275</v>
      </c>
      <c r="C45" s="339" t="str">
        <f>'F 3'!D48</f>
        <v>Kegiatan penelitian dosen tetap. Jumlah penelitian pada TS-2 = 1 judul, pada TS-1 = 1 judul, dan pada TS = 1 judul. Banyaknya dosen tetap = 27 orang. Rata-rata jumlah penelitian per dosen tetap per 3 tahun = 000 judul.</v>
      </c>
      <c r="D45" s="387"/>
      <c r="E45" s="379"/>
    </row>
    <row r="46" spans="1:5" ht="114.75" x14ac:dyDescent="0.25">
      <c r="A46" s="378">
        <v>38</v>
      </c>
      <c r="B46" s="369" t="s">
        <v>277</v>
      </c>
      <c r="C46" s="339" t="str">
        <f>'F 3'!D49</f>
        <v>Besar dana penelitian (dalam juta rupiah). Besar dana penelitian pada TS-2 = Rp 10 juta, pada TS-1 = Rp 10 juta, dan pada TS = Rp 10 juta. Banyaknya dosen tetap = 27 orang. Rata-rata dana penelitian per dosen tetap per tahun = Rp 000 juta.</v>
      </c>
      <c r="D46" s="387"/>
      <c r="E46" s="379"/>
    </row>
    <row r="47" spans="1:5" ht="38.25" x14ac:dyDescent="0.25">
      <c r="A47" s="378">
        <v>39</v>
      </c>
      <c r="B47" s="369" t="s">
        <v>166</v>
      </c>
      <c r="C47" s="339" t="str">
        <f>'F 3'!D50</f>
        <v>Upaya pengembangan kegiatan penelitian oleh pihak Fakultas: …</v>
      </c>
      <c r="D47" s="387"/>
      <c r="E47" s="379"/>
    </row>
    <row r="48" spans="1:5" ht="102" x14ac:dyDescent="0.25">
      <c r="A48" s="378">
        <v>40</v>
      </c>
      <c r="B48" s="369" t="s">
        <v>280</v>
      </c>
      <c r="C48" s="339" t="str">
        <f>'F 3'!D51</f>
        <v>Kegiatan PkM dosen tetap. Jumlah kegiatan PkM pada TS-2 = 1 judul, pada TS-1 = 0 judul, dan pada TS = 0 judul. Banyaknya dosen tetap = 27 orang. Rata-rata jumlah kegiatan PkM per dosen tetap per 3 tahun = 000 judul.</v>
      </c>
      <c r="D48" s="387"/>
      <c r="E48" s="379"/>
    </row>
    <row r="49" spans="1:14" ht="89.25" x14ac:dyDescent="0.25">
      <c r="A49" s="378">
        <v>41</v>
      </c>
      <c r="B49" s="369" t="s">
        <v>282</v>
      </c>
      <c r="C49" s="339" t="str">
        <f>'F 3'!D52</f>
        <v>Besar dana PkM. Besar dana PkM pada TS-2 = Rp 0 juta, pada TS-1 = Rp 10 juta, dan pada TS = Rp 0 juta. Banyaknya dosen tetap = 27 orang. Rata-rata dana PkM per dosen per tahun = Rp 000 juta.</v>
      </c>
      <c r="D49" s="387"/>
      <c r="E49" s="379"/>
    </row>
    <row r="50" spans="1:14" ht="25.5" x14ac:dyDescent="0.25">
      <c r="A50" s="378">
        <v>42</v>
      </c>
      <c r="B50" s="369" t="s">
        <v>174</v>
      </c>
      <c r="C50" s="339" t="str">
        <f>'F 3'!D53</f>
        <v>Upaya pengembangan kegiatan PkM: …</v>
      </c>
      <c r="D50" s="387"/>
      <c r="E50" s="379"/>
    </row>
    <row r="51" spans="1:14" ht="38.25" x14ac:dyDescent="0.25">
      <c r="A51" s="378">
        <v>43</v>
      </c>
      <c r="B51" s="369" t="s">
        <v>176</v>
      </c>
      <c r="C51" s="339" t="str">
        <f>'F 3'!D54</f>
        <v>Kegiatan kerjasama dengan instansi di DN dalam tiga tahun terakhir: …</v>
      </c>
      <c r="D51" s="387"/>
      <c r="E51" s="379"/>
    </row>
    <row r="52" spans="1:14" ht="39" thickBot="1" x14ac:dyDescent="0.3">
      <c r="A52" s="380">
        <v>44</v>
      </c>
      <c r="B52" s="381" t="s">
        <v>178</v>
      </c>
      <c r="C52" s="382" t="str">
        <f>'F 3'!D55</f>
        <v>Kegiatan kerjasama dengan instansi di LN dalam tiga tahun terakhir: …</v>
      </c>
      <c r="D52" s="388"/>
      <c r="E52" s="383"/>
    </row>
    <row r="53" spans="1:14" x14ac:dyDescent="0.25">
      <c r="A53" s="598" t="s">
        <v>293</v>
      </c>
      <c r="B53" s="599"/>
      <c r="C53" s="599"/>
      <c r="D53" s="4"/>
      <c r="E53" s="4"/>
    </row>
    <row r="54" spans="1:14" ht="15.75" x14ac:dyDescent="0.25">
      <c r="A54" s="6"/>
      <c r="B54" s="8"/>
      <c r="C54" s="4"/>
      <c r="D54" s="4"/>
      <c r="E54" s="4"/>
    </row>
    <row r="55" spans="1:14" ht="46.5" customHeight="1" x14ac:dyDescent="0.25">
      <c r="A55" s="601" t="s">
        <v>1069</v>
      </c>
      <c r="B55" s="601"/>
      <c r="C55" s="601"/>
      <c r="D55" s="601"/>
      <c r="E55" s="601"/>
      <c r="F55" s="346"/>
      <c r="G55" s="346"/>
      <c r="H55" s="346"/>
      <c r="I55" s="346"/>
      <c r="J55" s="346"/>
      <c r="K55" s="346"/>
      <c r="L55" s="346"/>
      <c r="M55" s="346"/>
      <c r="N55" s="346"/>
    </row>
    <row r="56" spans="1:14" ht="15.75" x14ac:dyDescent="0.25">
      <c r="A56" s="4"/>
      <c r="B56" s="8"/>
      <c r="C56" s="4"/>
      <c r="D56" s="58" t="str">
        <f>'F 4'!D112</f>
        <v>Jakarta, 15 Juni 2010</v>
      </c>
      <c r="E56" s="58"/>
      <c r="F56" s="58"/>
      <c r="G56" s="58"/>
    </row>
    <row r="57" spans="1:14" x14ac:dyDescent="0.25">
      <c r="A57" s="4"/>
      <c r="B57" s="8"/>
      <c r="C57" s="4"/>
      <c r="D57" s="4"/>
      <c r="E57" s="4"/>
    </row>
    <row r="58" spans="1:14" x14ac:dyDescent="0.25">
      <c r="A58" s="5"/>
      <c r="B58" s="9"/>
      <c r="C58" s="5"/>
      <c r="D58" s="5"/>
      <c r="E58" s="4"/>
    </row>
    <row r="59" spans="1:14" ht="15" customHeight="1" x14ac:dyDescent="0.25">
      <c r="A59" s="385" t="s">
        <v>374</v>
      </c>
      <c r="B59" s="385"/>
      <c r="C59" s="385"/>
      <c r="D59" s="3" t="s">
        <v>294</v>
      </c>
      <c r="E59" s="22" t="s">
        <v>373</v>
      </c>
    </row>
    <row r="60" spans="1:14" s="25" customFormat="1" ht="15" customHeight="1" x14ac:dyDescent="0.25">
      <c r="A60" s="385"/>
      <c r="B60" s="385"/>
      <c r="C60" s="385"/>
      <c r="D60" s="347"/>
      <c r="E60" s="22"/>
    </row>
    <row r="61" spans="1:14" ht="15" customHeight="1" x14ac:dyDescent="0.25">
      <c r="A61" s="385"/>
      <c r="B61" s="385"/>
      <c r="C61" s="385"/>
      <c r="D61" s="55" t="str">
        <f>'F 4'!D116</f>
        <v>1. Dr. I G. P. Purnaba, DEA</v>
      </c>
      <c r="E61" s="4"/>
      <c r="G61" s="54"/>
      <c r="H61" s="54"/>
      <c r="I61" s="54"/>
    </row>
    <row r="62" spans="1:14" x14ac:dyDescent="0.25">
      <c r="A62" s="5"/>
      <c r="B62" s="9"/>
      <c r="C62" s="4"/>
      <c r="D62" s="4"/>
      <c r="E62" s="4"/>
      <c r="F62" s="54"/>
      <c r="G62" s="54"/>
      <c r="H62" s="54"/>
      <c r="I62" s="54"/>
    </row>
    <row r="63" spans="1:14" x14ac:dyDescent="0.25">
      <c r="A63" s="5"/>
      <c r="B63" s="9"/>
      <c r="C63" s="4"/>
      <c r="D63" s="4"/>
      <c r="E63" s="4"/>
      <c r="F63" s="5"/>
      <c r="G63" s="5"/>
    </row>
    <row r="64" spans="1:14" x14ac:dyDescent="0.25">
      <c r="A64" s="5"/>
      <c r="B64" s="9"/>
      <c r="C64" s="4"/>
      <c r="D64" s="55" t="str">
        <f>'F 4'!D120</f>
        <v>2. …</v>
      </c>
      <c r="E64" s="4"/>
      <c r="G64" s="54"/>
      <c r="H64" s="54"/>
      <c r="I64" s="54"/>
    </row>
    <row r="65" spans="1:9" x14ac:dyDescent="0.25">
      <c r="A65" s="385"/>
      <c r="B65" s="346"/>
      <c r="C65" s="4"/>
      <c r="D65" s="4"/>
      <c r="E65" s="4"/>
      <c r="F65" s="54"/>
      <c r="G65" s="54"/>
      <c r="H65" s="54"/>
      <c r="I65" s="54"/>
    </row>
    <row r="66" spans="1:9" x14ac:dyDescent="0.25">
      <c r="A66" s="4"/>
      <c r="B66" s="8"/>
      <c r="C66" s="4"/>
      <c r="D66" s="4"/>
      <c r="E66" s="4"/>
    </row>
  </sheetData>
  <mergeCells count="6">
    <mergeCell ref="A55:E55"/>
    <mergeCell ref="A3:E3"/>
    <mergeCell ref="A4:E4"/>
    <mergeCell ref="A53:C53"/>
    <mergeCell ref="A6:E6"/>
    <mergeCell ref="A7:E7"/>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2"/>
  <sheetViews>
    <sheetView workbookViewId="0">
      <selection activeCell="D5" sqref="D5"/>
    </sheetView>
  </sheetViews>
  <sheetFormatPr defaultRowHeight="15" x14ac:dyDescent="0.25"/>
  <cols>
    <col min="1" max="1" width="5" customWidth="1"/>
    <col min="3" max="3" width="7.85546875" style="4" customWidth="1"/>
    <col min="4" max="4" width="8.42578125" style="8" customWidth="1"/>
    <col min="5" max="5" width="8.5703125" style="4" customWidth="1"/>
    <col min="6" max="6" width="35.5703125" customWidth="1"/>
    <col min="7" max="7" width="14.5703125" customWidth="1"/>
    <col min="9" max="9" width="9.140625" style="4"/>
    <col min="11" max="11" width="14.5703125" customWidth="1"/>
  </cols>
  <sheetData>
    <row r="1" spans="1:16" ht="15.75" x14ac:dyDescent="0.25">
      <c r="A1" s="393" t="s">
        <v>299</v>
      </c>
    </row>
    <row r="2" spans="1:16" ht="15.75" x14ac:dyDescent="0.25">
      <c r="A2" s="1"/>
    </row>
    <row r="3" spans="1:16" ht="15.75" customHeight="1" x14ac:dyDescent="0.25">
      <c r="A3" s="58" t="s">
        <v>194</v>
      </c>
      <c r="B3" s="58"/>
      <c r="C3" s="58"/>
      <c r="E3" s="464" t="str">
        <f>'F 1'!D5</f>
        <v>: Universitas X</v>
      </c>
      <c r="F3" s="57"/>
    </row>
    <row r="4" spans="1:16" ht="15.75" customHeight="1" x14ac:dyDescent="0.25">
      <c r="A4" s="58" t="s">
        <v>195</v>
      </c>
      <c r="B4" s="58"/>
      <c r="C4" s="58"/>
      <c r="E4" s="352" t="str">
        <f>'F 1'!D6</f>
        <v>: FMIPA</v>
      </c>
      <c r="F4" s="57"/>
    </row>
    <row r="5" spans="1:16" ht="15.75" customHeight="1" x14ac:dyDescent="0.25">
      <c r="A5" s="58" t="s">
        <v>196</v>
      </c>
      <c r="B5" s="58"/>
      <c r="C5" s="58"/>
      <c r="E5" s="352" t="str">
        <f>'F 1'!D7</f>
        <v>: Sistem Informasi</v>
      </c>
      <c r="F5" s="57"/>
    </row>
    <row r="6" spans="1:16" ht="30" customHeight="1" x14ac:dyDescent="0.25">
      <c r="A6" s="601" t="s">
        <v>1072</v>
      </c>
      <c r="B6" s="601"/>
      <c r="C6" s="601"/>
      <c r="D6" s="601"/>
      <c r="E6" s="601"/>
      <c r="F6" s="601"/>
      <c r="G6" s="601"/>
      <c r="H6" s="346"/>
      <c r="I6" s="346"/>
      <c r="J6" s="346"/>
      <c r="K6" s="346"/>
      <c r="L6" s="346"/>
      <c r="M6" s="346"/>
      <c r="N6" s="346"/>
      <c r="O6" s="346"/>
      <c r="P6" s="346"/>
    </row>
    <row r="7" spans="1:16" ht="16.5" thickBot="1" x14ac:dyDescent="0.3">
      <c r="A7" s="58" t="s">
        <v>380</v>
      </c>
      <c r="B7" s="346"/>
      <c r="C7" s="346"/>
      <c r="D7" s="346"/>
      <c r="E7" s="346"/>
      <c r="F7" s="346"/>
      <c r="G7" s="346"/>
      <c r="H7" s="346"/>
      <c r="I7" s="346"/>
    </row>
    <row r="8" spans="1:16" ht="23.25" customHeight="1" x14ac:dyDescent="0.25">
      <c r="A8" s="604" t="s">
        <v>1</v>
      </c>
      <c r="B8" s="603" t="s">
        <v>300</v>
      </c>
      <c r="C8" s="603" t="s">
        <v>199</v>
      </c>
      <c r="D8" s="603"/>
      <c r="E8" s="603"/>
      <c r="F8" s="603" t="s">
        <v>301</v>
      </c>
      <c r="G8" s="609" t="s">
        <v>302</v>
      </c>
      <c r="I8" s="602" t="s">
        <v>340</v>
      </c>
      <c r="J8" s="602"/>
      <c r="K8" s="602" t="s">
        <v>370</v>
      </c>
    </row>
    <row r="9" spans="1:16" ht="30.75" hidden="1" customHeight="1" thickBot="1" x14ac:dyDescent="0.3">
      <c r="A9" s="605"/>
      <c r="B9" s="607"/>
      <c r="C9" s="368" t="s">
        <v>200</v>
      </c>
      <c r="D9" s="368" t="s">
        <v>201</v>
      </c>
      <c r="E9" s="368" t="s">
        <v>202</v>
      </c>
      <c r="F9" s="607"/>
      <c r="G9" s="610"/>
      <c r="I9" s="602"/>
      <c r="J9" s="602"/>
      <c r="K9" s="602"/>
    </row>
    <row r="10" spans="1:16" s="25" customFormat="1" ht="30.75" customHeight="1" thickBot="1" x14ac:dyDescent="0.3">
      <c r="A10" s="606"/>
      <c r="B10" s="608"/>
      <c r="C10" s="395" t="s">
        <v>200</v>
      </c>
      <c r="D10" s="395" t="s">
        <v>201</v>
      </c>
      <c r="E10" s="395" t="s">
        <v>202</v>
      </c>
      <c r="F10" s="608"/>
      <c r="G10" s="611"/>
      <c r="I10" s="602"/>
      <c r="J10" s="602"/>
      <c r="K10" s="602"/>
    </row>
    <row r="11" spans="1:16" x14ac:dyDescent="0.25">
      <c r="A11" s="389">
        <v>1</v>
      </c>
      <c r="B11" s="371" t="s">
        <v>7</v>
      </c>
      <c r="C11" s="401">
        <f>'F 1'!F13</f>
        <v>2</v>
      </c>
      <c r="D11" s="429"/>
      <c r="E11" s="401">
        <f>(C11+D11)/2</f>
        <v>1</v>
      </c>
      <c r="F11" s="372" t="str">
        <f>'F 1'!D13</f>
        <v>Visi PS:</v>
      </c>
      <c r="G11" s="398"/>
      <c r="I11" s="4">
        <f>'F 1'!E13</f>
        <v>1.04</v>
      </c>
      <c r="J11" s="65">
        <f>E11*I11</f>
        <v>1.04</v>
      </c>
      <c r="K11" s="65">
        <f>'F 1'!F13</f>
        <v>2</v>
      </c>
    </row>
    <row r="12" spans="1:16" x14ac:dyDescent="0.25">
      <c r="A12" s="378">
        <v>2</v>
      </c>
      <c r="B12" s="369" t="s">
        <v>8</v>
      </c>
      <c r="C12" s="401">
        <f>'F 1'!F14</f>
        <v>1</v>
      </c>
      <c r="D12" s="431"/>
      <c r="E12" s="434">
        <f t="shared" ref="E12:E75" si="0">(C12+D12)/2</f>
        <v>0.5</v>
      </c>
      <c r="F12" s="372" t="str">
        <f>'F 1'!D14</f>
        <v>Sasaran …</v>
      </c>
      <c r="G12" s="399"/>
      <c r="I12" s="4">
        <f>'F 1'!E14</f>
        <v>1.04</v>
      </c>
      <c r="J12" s="65">
        <f t="shared" ref="J12:J75" si="1">E12*I12</f>
        <v>0.52</v>
      </c>
      <c r="K12" s="65">
        <f>'F 1'!F14</f>
        <v>1</v>
      </c>
    </row>
    <row r="13" spans="1:16" x14ac:dyDescent="0.25">
      <c r="A13" s="378">
        <v>3</v>
      </c>
      <c r="B13" s="369">
        <v>1.2</v>
      </c>
      <c r="C13" s="401">
        <f>'F 1'!F15</f>
        <v>2</v>
      </c>
      <c r="D13" s="431"/>
      <c r="E13" s="434">
        <f t="shared" si="0"/>
        <v>1</v>
      </c>
      <c r="F13" s="372" t="str">
        <f>'F 1'!D15</f>
        <v>Sosialisasi dilakukan dengan …</v>
      </c>
      <c r="G13" s="399"/>
      <c r="I13" s="4">
        <f>'F 1'!E15</f>
        <v>1.04</v>
      </c>
      <c r="J13" s="65">
        <f t="shared" si="1"/>
        <v>1.04</v>
      </c>
      <c r="K13" s="65">
        <f>'F 1'!F15</f>
        <v>2</v>
      </c>
    </row>
    <row r="14" spans="1:16" x14ac:dyDescent="0.25">
      <c r="A14" s="378">
        <v>4</v>
      </c>
      <c r="B14" s="369">
        <v>2.1</v>
      </c>
      <c r="C14" s="401">
        <f>'F 1'!F16</f>
        <v>2</v>
      </c>
      <c r="D14" s="431"/>
      <c r="E14" s="434">
        <f t="shared" si="0"/>
        <v>1</v>
      </c>
      <c r="F14" s="372" t="str">
        <f>'F 1'!D16</f>
        <v>Tata pamong …</v>
      </c>
      <c r="G14" s="399"/>
      <c r="I14" s="4">
        <f>'F 1'!E16</f>
        <v>1.39</v>
      </c>
      <c r="J14" s="65">
        <f t="shared" si="1"/>
        <v>1.39</v>
      </c>
      <c r="K14" s="65">
        <f>'F 1'!F16</f>
        <v>2</v>
      </c>
    </row>
    <row r="15" spans="1:16" x14ac:dyDescent="0.25">
      <c r="A15" s="378">
        <v>5</v>
      </c>
      <c r="B15" s="369">
        <v>2.2000000000000002</v>
      </c>
      <c r="C15" s="401">
        <f>'F 1'!F17</f>
        <v>2.5</v>
      </c>
      <c r="D15" s="431"/>
      <c r="E15" s="434">
        <f t="shared" si="0"/>
        <v>1.25</v>
      </c>
      <c r="F15" s="372" t="str">
        <f>'F 1'!D17</f>
        <v>Kepemimpinan PS</v>
      </c>
      <c r="G15" s="399"/>
      <c r="I15" s="4">
        <f>'F 1'!E17</f>
        <v>0.69</v>
      </c>
      <c r="J15" s="65">
        <f t="shared" si="1"/>
        <v>0.86249999999999993</v>
      </c>
      <c r="K15" s="65">
        <f>'F 1'!F17</f>
        <v>2.5</v>
      </c>
    </row>
    <row r="16" spans="1:16" x14ac:dyDescent="0.25">
      <c r="A16" s="378">
        <v>6</v>
      </c>
      <c r="B16" s="369">
        <v>2.2999999999999998</v>
      </c>
      <c r="C16" s="401">
        <f>'F 1'!F18</f>
        <v>3</v>
      </c>
      <c r="D16" s="431"/>
      <c r="E16" s="434">
        <f t="shared" si="0"/>
        <v>1.5</v>
      </c>
      <c r="F16" s="372" t="str">
        <f>'F 1'!D18</f>
        <v>Sistem pengelolaan PS</v>
      </c>
      <c r="G16" s="399"/>
      <c r="I16" s="4">
        <f>'F 1'!E18</f>
        <v>1.39</v>
      </c>
      <c r="J16" s="65">
        <f t="shared" si="1"/>
        <v>2.085</v>
      </c>
      <c r="K16" s="65">
        <f>'F 1'!F18</f>
        <v>3</v>
      </c>
    </row>
    <row r="17" spans="1:11" x14ac:dyDescent="0.25">
      <c r="A17" s="378">
        <v>7</v>
      </c>
      <c r="B17" s="369">
        <v>2.4</v>
      </c>
      <c r="C17" s="401">
        <f>'F 1'!F19</f>
        <v>2.5</v>
      </c>
      <c r="D17" s="431"/>
      <c r="E17" s="434">
        <f t="shared" si="0"/>
        <v>1.25</v>
      </c>
      <c r="F17" s="372" t="str">
        <f>'F 1'!D19</f>
        <v>Pelaksanaan penjaminan mutu</v>
      </c>
      <c r="G17" s="399"/>
      <c r="I17" s="4">
        <f>'F 1'!E19</f>
        <v>1.39</v>
      </c>
      <c r="J17" s="65">
        <f t="shared" si="1"/>
        <v>1.7374999999999998</v>
      </c>
      <c r="K17" s="65">
        <f>'F 1'!F19</f>
        <v>2.5</v>
      </c>
    </row>
    <row r="18" spans="1:11" x14ac:dyDescent="0.25">
      <c r="A18" s="378">
        <v>8</v>
      </c>
      <c r="B18" s="369">
        <v>2.5</v>
      </c>
      <c r="C18" s="401">
        <f>'F 1'!F20</f>
        <v>2</v>
      </c>
      <c r="D18" s="431"/>
      <c r="E18" s="434">
        <f t="shared" si="0"/>
        <v>1</v>
      </c>
      <c r="F18" s="372" t="str">
        <f>'F 1'!D20</f>
        <v xml:space="preserve">Umpan balik diperoleh </v>
      </c>
      <c r="G18" s="399"/>
      <c r="I18" s="4">
        <f>'F 1'!E20</f>
        <v>0.69</v>
      </c>
      <c r="J18" s="65">
        <f t="shared" si="1"/>
        <v>0.69</v>
      </c>
      <c r="K18" s="65">
        <f>'F 1'!F20</f>
        <v>2</v>
      </c>
    </row>
    <row r="19" spans="1:11" ht="25.5" x14ac:dyDescent="0.25">
      <c r="A19" s="378">
        <v>9</v>
      </c>
      <c r="B19" s="369">
        <v>2.6</v>
      </c>
      <c r="C19" s="401">
        <f>'F 1'!F21</f>
        <v>3</v>
      </c>
      <c r="D19" s="431"/>
      <c r="E19" s="434">
        <f t="shared" si="0"/>
        <v>1.5</v>
      </c>
      <c r="F19" s="372" t="str">
        <f>'F 1'!D21</f>
        <v>Upaya yang dilakukan untuk keberlanjutan PS:</v>
      </c>
      <c r="G19" s="399"/>
      <c r="I19" s="4">
        <f>'F 1'!E21</f>
        <v>0.69</v>
      </c>
      <c r="J19" s="65">
        <f t="shared" si="1"/>
        <v>1.0349999999999999</v>
      </c>
      <c r="K19" s="65">
        <f>'F 1'!F21</f>
        <v>3</v>
      </c>
    </row>
    <row r="20" spans="1:11" ht="51" x14ac:dyDescent="0.25">
      <c r="A20" s="378">
        <v>10</v>
      </c>
      <c r="B20" s="369" t="s">
        <v>15</v>
      </c>
      <c r="C20" s="401">
        <f>'F 1'!F22</f>
        <v>2.0300000000000002</v>
      </c>
      <c r="D20" s="431"/>
      <c r="E20" s="434">
        <f t="shared" si="0"/>
        <v>1.0150000000000001</v>
      </c>
      <c r="F20" s="372" t="str">
        <f>'F 1'!D22</f>
        <v>Jumlah calon yang ikut seleksi = 212,daya tampung PS = 200. Rasio calon mahasiswa yang ikut seleksi : daya tampung  = 001</v>
      </c>
      <c r="G20" s="399"/>
      <c r="I20" s="4">
        <f>'F 1'!E22</f>
        <v>1.95</v>
      </c>
      <c r="J20" s="65">
        <f t="shared" si="1"/>
        <v>1.9792500000000002</v>
      </c>
      <c r="K20" s="65">
        <f>'F 1'!F22</f>
        <v>2.0300000000000002</v>
      </c>
    </row>
    <row r="21" spans="1:11" ht="51" x14ac:dyDescent="0.25">
      <c r="A21" s="378">
        <v>11</v>
      </c>
      <c r="B21" s="369" t="s">
        <v>17</v>
      </c>
      <c r="C21" s="401">
        <f>'F 1'!F23</f>
        <v>1.9432120674356699</v>
      </c>
      <c r="D21" s="431"/>
      <c r="E21" s="434">
        <f t="shared" si="0"/>
        <v>0.97160603371783494</v>
      </c>
      <c r="F21" s="372" t="str">
        <f>'F 1'!D23</f>
        <v>Rasio mahasiswa baru reguler yang melakukan registrasi : calon mahasiswa baru reguler yang lulus seleksi = 95 / 161 = 001.</v>
      </c>
      <c r="G21" s="399"/>
      <c r="I21" s="4">
        <f>'F 1'!E23</f>
        <v>0.65</v>
      </c>
      <c r="J21" s="65">
        <f t="shared" si="1"/>
        <v>0.6315439219165927</v>
      </c>
      <c r="K21" s="65">
        <f>'F 1'!F23</f>
        <v>1.9432120674356699</v>
      </c>
    </row>
    <row r="22" spans="1:11" ht="38.25" x14ac:dyDescent="0.25">
      <c r="A22" s="378">
        <v>12</v>
      </c>
      <c r="B22" s="369" t="s">
        <v>19</v>
      </c>
      <c r="C22" s="401">
        <f>'F 1'!F24</f>
        <v>3.5684210526315789</v>
      </c>
      <c r="D22" s="431"/>
      <c r="E22" s="434">
        <f t="shared" si="0"/>
        <v>1.7842105263157895</v>
      </c>
      <c r="F22" s="372" t="str">
        <f>'F 1'!D24</f>
        <v>Rasio mahasiswa baru transfer terhadap mahasiswa baru bukan transfer = 34 / 95 = 000</v>
      </c>
      <c r="G22" s="399"/>
      <c r="I22" s="4">
        <f>'F 1'!E24</f>
        <v>0.65</v>
      </c>
      <c r="J22" s="65">
        <f t="shared" si="1"/>
        <v>1.1597368421052632</v>
      </c>
      <c r="K22" s="65">
        <f>'F 1'!F24</f>
        <v>3.5684210526315789</v>
      </c>
    </row>
    <row r="23" spans="1:11" ht="25.5" x14ac:dyDescent="0.25">
      <c r="A23" s="378">
        <v>13</v>
      </c>
      <c r="B23" s="369" t="s">
        <v>21</v>
      </c>
      <c r="C23" s="401">
        <f>'F 1'!F25</f>
        <v>3.3035294117647052</v>
      </c>
      <c r="D23" s="431"/>
      <c r="E23" s="434">
        <f t="shared" si="0"/>
        <v>1.6517647058823526</v>
      </c>
      <c r="F23" s="372" t="str">
        <f>'F 1'!D25</f>
        <v>Rata-rata Indeks Prestasi Kumulatif (IPK) selama lima tahun terakhir = 003</v>
      </c>
      <c r="G23" s="399"/>
      <c r="I23" s="4">
        <f>'F 1'!E25</f>
        <v>1.3</v>
      </c>
      <c r="J23" s="65">
        <f t="shared" si="1"/>
        <v>2.1472941176470584</v>
      </c>
      <c r="K23" s="65">
        <f>'F 1'!F25</f>
        <v>3.3035294117647052</v>
      </c>
    </row>
    <row r="24" spans="1:11" x14ac:dyDescent="0.25">
      <c r="A24" s="378">
        <v>14</v>
      </c>
      <c r="B24" s="369" t="s">
        <v>23</v>
      </c>
      <c r="C24" s="401">
        <f>'F 1'!F26</f>
        <v>0</v>
      </c>
      <c r="D24" s="431"/>
      <c r="E24" s="434">
        <f t="shared" si="0"/>
        <v>0</v>
      </c>
      <c r="F24" s="372" t="str">
        <f>'F 1'!D26</f>
        <v xml:space="preserve">Penerimaan mahasiswa non reguler </v>
      </c>
      <c r="G24" s="399"/>
      <c r="I24" s="4">
        <f>'F 1'!E26</f>
        <v>0.65</v>
      </c>
      <c r="J24" s="65">
        <f t="shared" si="1"/>
        <v>0</v>
      </c>
      <c r="K24" s="65">
        <f>'F 1'!F26</f>
        <v>0</v>
      </c>
    </row>
    <row r="25" spans="1:11" ht="25.5" x14ac:dyDescent="0.25">
      <c r="A25" s="378">
        <v>15</v>
      </c>
      <c r="B25" s="369" t="s">
        <v>25</v>
      </c>
      <c r="C25" s="401">
        <f>'F 1'!F27</f>
        <v>1</v>
      </c>
      <c r="D25" s="431"/>
      <c r="E25" s="434">
        <f t="shared" si="0"/>
        <v>0.5</v>
      </c>
      <c r="F25" s="372" t="str">
        <f>'F 1'!D27</f>
        <v>Penghargaan atas prestasi mahasiswa di bidang nalar, minat, dan bakat:</v>
      </c>
      <c r="G25" s="399"/>
      <c r="I25" s="4">
        <f>'F 1'!E27</f>
        <v>1.3</v>
      </c>
      <c r="J25" s="65">
        <f t="shared" si="1"/>
        <v>0.65</v>
      </c>
      <c r="K25" s="65">
        <f>'F 1'!F27</f>
        <v>1</v>
      </c>
    </row>
    <row r="26" spans="1:11" ht="25.5" x14ac:dyDescent="0.25">
      <c r="A26" s="378">
        <v>16</v>
      </c>
      <c r="B26" s="369" t="s">
        <v>27</v>
      </c>
      <c r="C26" s="401">
        <f>'F 1'!F28</f>
        <v>1.6400000000000001</v>
      </c>
      <c r="D26" s="431"/>
      <c r="E26" s="434">
        <f t="shared" si="0"/>
        <v>0.82000000000000006</v>
      </c>
      <c r="F26" s="372" t="str">
        <f>'F 1'!D28</f>
        <v>Persentase kelulusan tepat waktu (KTW) = (8 / 75) x 100 = 011%.</v>
      </c>
      <c r="G26" s="399"/>
      <c r="I26" s="4">
        <f>'F 1'!E28</f>
        <v>1.3</v>
      </c>
      <c r="J26" s="65">
        <f t="shared" si="1"/>
        <v>1.0660000000000001</v>
      </c>
      <c r="K26" s="65">
        <f>'F 1'!F28</f>
        <v>1.6400000000000001</v>
      </c>
    </row>
    <row r="27" spans="1:11" ht="25.5" x14ac:dyDescent="0.25">
      <c r="A27" s="378">
        <v>17</v>
      </c>
      <c r="B27" s="369" t="s">
        <v>29</v>
      </c>
      <c r="C27" s="401">
        <f>'F 1'!F29</f>
        <v>2.9893683552220138</v>
      </c>
      <c r="D27" s="431"/>
      <c r="E27" s="434">
        <f t="shared" si="0"/>
        <v>1.4946841776110069</v>
      </c>
      <c r="F27" s="372" t="str">
        <f>'F 1'!D29</f>
        <v>Persentase mahasiswa yang DO atau mengundurkan diri = 13 / 82 = 016%</v>
      </c>
      <c r="G27" s="399"/>
      <c r="I27" s="4">
        <f>'F 1'!E29</f>
        <v>0.65</v>
      </c>
      <c r="J27" s="65">
        <f t="shared" si="1"/>
        <v>0.97154471544715448</v>
      </c>
      <c r="K27" s="65">
        <f>'F 1'!F29</f>
        <v>2.9893683552220138</v>
      </c>
    </row>
    <row r="28" spans="1:11" ht="25.5" x14ac:dyDescent="0.25">
      <c r="A28" s="378">
        <v>18</v>
      </c>
      <c r="B28" s="369" t="s">
        <v>31</v>
      </c>
      <c r="C28" s="401">
        <f>'F 1'!F30</f>
        <v>3.5</v>
      </c>
      <c r="D28" s="431"/>
      <c r="E28" s="434">
        <f t="shared" si="0"/>
        <v>1.75</v>
      </c>
      <c r="F28" s="372" t="str">
        <f>'F 1'!D30</f>
        <v>Jenis layanan PS kepada mahasiswa antara lain:</v>
      </c>
      <c r="G28" s="399"/>
      <c r="I28" s="4">
        <f>'F 1'!E30</f>
        <v>0.65</v>
      </c>
      <c r="J28" s="65">
        <f t="shared" si="1"/>
        <v>1.1375</v>
      </c>
      <c r="K28" s="65">
        <f>'F 1'!F30</f>
        <v>3.5</v>
      </c>
    </row>
    <row r="29" spans="1:11" x14ac:dyDescent="0.25">
      <c r="A29" s="378">
        <v>19</v>
      </c>
      <c r="B29" s="369" t="s">
        <v>33</v>
      </c>
      <c r="C29" s="401">
        <f>'F 1'!F31</f>
        <v>2.6</v>
      </c>
      <c r="D29" s="431"/>
      <c r="E29" s="434">
        <f t="shared" si="0"/>
        <v>1.3</v>
      </c>
      <c r="F29" s="372" t="str">
        <f>'F 1'!D31</f>
        <v>Kualitas layanan kepada mahasiswa …</v>
      </c>
      <c r="G29" s="399"/>
      <c r="I29" s="4">
        <f>'F 1'!E31</f>
        <v>0.65</v>
      </c>
      <c r="J29" s="65">
        <f t="shared" si="1"/>
        <v>0.84500000000000008</v>
      </c>
      <c r="K29" s="65">
        <f>'F 1'!F31</f>
        <v>2.6</v>
      </c>
    </row>
    <row r="30" spans="1:11" ht="25.5" x14ac:dyDescent="0.25">
      <c r="A30" s="378">
        <v>20</v>
      </c>
      <c r="B30" s="369" t="s">
        <v>35</v>
      </c>
      <c r="C30" s="401">
        <f>'F 1'!F32</f>
        <v>1</v>
      </c>
      <c r="D30" s="431"/>
      <c r="E30" s="434">
        <f t="shared" si="0"/>
        <v>0.5</v>
      </c>
      <c r="F30" s="372" t="str">
        <f>'F 1'!D32</f>
        <v>Upaya pelacakan dan perekaman data lulusan …</v>
      </c>
      <c r="G30" s="399"/>
      <c r="I30" s="4">
        <f>'F 1'!E32</f>
        <v>0.65</v>
      </c>
      <c r="J30" s="65">
        <f t="shared" si="1"/>
        <v>0.32500000000000001</v>
      </c>
      <c r="K30" s="65">
        <f>'F 1'!F32</f>
        <v>1</v>
      </c>
    </row>
    <row r="31" spans="1:11" ht="25.5" x14ac:dyDescent="0.25">
      <c r="A31" s="378">
        <v>21</v>
      </c>
      <c r="B31" s="369" t="s">
        <v>37</v>
      </c>
      <c r="C31" s="401">
        <f>'F 1'!F33</f>
        <v>1</v>
      </c>
      <c r="D31" s="431"/>
      <c r="E31" s="434">
        <f t="shared" si="0"/>
        <v>0.5</v>
      </c>
      <c r="F31" s="372" t="str">
        <f>'F 1'!D33</f>
        <v>Penggunaan hasil pelacakan untuk perbaikan …</v>
      </c>
      <c r="G31" s="399"/>
      <c r="I31" s="4">
        <f>'F 1'!E33</f>
        <v>0.65</v>
      </c>
      <c r="J31" s="65">
        <f t="shared" si="1"/>
        <v>0.32500000000000001</v>
      </c>
      <c r="K31" s="65">
        <f>'F 1'!F33</f>
        <v>1</v>
      </c>
    </row>
    <row r="32" spans="1:11" ht="51" x14ac:dyDescent="0.25">
      <c r="A32" s="378">
        <v>22</v>
      </c>
      <c r="B32" s="369" t="s">
        <v>39</v>
      </c>
      <c r="C32" s="401">
        <f>'F 1'!F34</f>
        <v>3.5714285714285716</v>
      </c>
      <c r="D32" s="431"/>
      <c r="E32" s="434">
        <f t="shared" si="0"/>
        <v>1.7857142857142858</v>
      </c>
      <c r="F32" s="372" t="str">
        <f>'F 1'!D34</f>
        <v xml:space="preserve"> Pendapat pengguna terhadap kualitas alumni.Respon sangat baik = 071%, respon baik = 014%, respon cukup = 014%, dan respon kurang = 000%.</v>
      </c>
      <c r="G32" s="399"/>
      <c r="I32" s="4">
        <f>'F 1'!E34</f>
        <v>1.3</v>
      </c>
      <c r="J32" s="65">
        <f t="shared" si="1"/>
        <v>2.3214285714285716</v>
      </c>
      <c r="K32" s="65">
        <f>'F 1'!F34</f>
        <v>3.5714285714285716</v>
      </c>
    </row>
    <row r="33" spans="1:11" ht="38.25" x14ac:dyDescent="0.25">
      <c r="A33" s="378">
        <v>23</v>
      </c>
      <c r="B33" s="369" t="s">
        <v>41</v>
      </c>
      <c r="C33" s="401">
        <f>'F 1'!F35</f>
        <v>3.2</v>
      </c>
      <c r="D33" s="431"/>
      <c r="E33" s="434">
        <f t="shared" si="0"/>
        <v>1.6</v>
      </c>
      <c r="F33" s="372" t="str">
        <f>'F 1'!D35</f>
        <v>Rata-rata waktu tunggu lulusan untuk memperoleh pekerjaan yang pertama = 6 bulan.</v>
      </c>
      <c r="G33" s="399"/>
      <c r="I33" s="4">
        <f>'F 1'!E35</f>
        <v>1.3</v>
      </c>
      <c r="J33" s="65">
        <f t="shared" si="1"/>
        <v>2.08</v>
      </c>
      <c r="K33" s="65">
        <f>'F 1'!F35</f>
        <v>3.2</v>
      </c>
    </row>
    <row r="34" spans="1:11" ht="25.5" x14ac:dyDescent="0.25">
      <c r="A34" s="378">
        <v>24</v>
      </c>
      <c r="B34" s="369" t="s">
        <v>43</v>
      </c>
      <c r="C34" s="401">
        <f>'F 1'!F36</f>
        <v>4</v>
      </c>
      <c r="D34" s="431"/>
      <c r="E34" s="434">
        <f t="shared" si="0"/>
        <v>2</v>
      </c>
      <c r="F34" s="372" t="str">
        <f>'F 1'!D36</f>
        <v>Persentase lulusan yang bekerja sesuai dengan bidang keahliannya = 085%</v>
      </c>
      <c r="G34" s="399"/>
      <c r="I34" s="4">
        <f>'F 1'!E36</f>
        <v>0.65</v>
      </c>
      <c r="J34" s="65">
        <f t="shared" si="1"/>
        <v>1.3</v>
      </c>
      <c r="K34" s="65">
        <f>'F 1'!F36</f>
        <v>4</v>
      </c>
    </row>
    <row r="35" spans="1:11" ht="25.5" x14ac:dyDescent="0.25">
      <c r="A35" s="378">
        <v>25</v>
      </c>
      <c r="B35" s="369" t="s">
        <v>45</v>
      </c>
      <c r="C35" s="401">
        <f>'F 1'!F37</f>
        <v>1</v>
      </c>
      <c r="D35" s="431"/>
      <c r="E35" s="434">
        <f t="shared" si="0"/>
        <v>0.5</v>
      </c>
      <c r="F35" s="372" t="str">
        <f>'F 1'!D37</f>
        <v>Bentuk partisipasi lulusan dan alumni untuk kegiatan akademik:</v>
      </c>
      <c r="G35" s="399"/>
      <c r="I35" s="4">
        <f>'F 1'!E37</f>
        <v>0.65</v>
      </c>
      <c r="J35" s="65">
        <f t="shared" si="1"/>
        <v>0.32500000000000001</v>
      </c>
      <c r="K35" s="65">
        <f>'F 1'!F37</f>
        <v>1</v>
      </c>
    </row>
    <row r="36" spans="1:11" ht="25.5" x14ac:dyDescent="0.25">
      <c r="A36" s="378">
        <v>26</v>
      </c>
      <c r="B36" s="369" t="s">
        <v>47</v>
      </c>
      <c r="C36" s="401">
        <f>'F 1'!F38</f>
        <v>1</v>
      </c>
      <c r="D36" s="431"/>
      <c r="E36" s="434">
        <f t="shared" si="0"/>
        <v>0.5</v>
      </c>
      <c r="F36" s="372" t="str">
        <f>'F 1'!D38</f>
        <v>Bentuk partisipasi lulusan dan alumni untuk kegiatan non akademik:</v>
      </c>
      <c r="G36" s="399"/>
      <c r="I36" s="4">
        <f>'F 1'!E38</f>
        <v>0.65</v>
      </c>
      <c r="J36" s="65">
        <f t="shared" si="1"/>
        <v>0.32500000000000001</v>
      </c>
      <c r="K36" s="65">
        <f>'F 1'!F38</f>
        <v>1</v>
      </c>
    </row>
    <row r="37" spans="1:11" ht="63.75" x14ac:dyDescent="0.25">
      <c r="A37" s="378">
        <v>27</v>
      </c>
      <c r="B37" s="369">
        <v>4.0999999999999996</v>
      </c>
      <c r="C37" s="401">
        <f>'F 1'!F39</f>
        <v>3</v>
      </c>
      <c r="D37" s="431"/>
      <c r="E37" s="434">
        <f t="shared" si="0"/>
        <v>1.5</v>
      </c>
      <c r="F37" s="372" t="str">
        <f>'F 1'!D39</f>
        <v>Pedoman tertulis tentang sistem seleksi, perekrutan, penempatan, pengembangan, retensi, dan pemberhentian dosen dan tenaga kependidikan…</v>
      </c>
      <c r="G37" s="399"/>
      <c r="I37" s="4">
        <f>'F 1'!E39</f>
        <v>0.72</v>
      </c>
      <c r="J37" s="65">
        <f t="shared" si="1"/>
        <v>1.08</v>
      </c>
      <c r="K37" s="65">
        <f>'F 1'!F39</f>
        <v>3</v>
      </c>
    </row>
    <row r="38" spans="1:11" ht="51" x14ac:dyDescent="0.25">
      <c r="A38" s="378">
        <v>28</v>
      </c>
      <c r="B38" s="369" t="s">
        <v>50</v>
      </c>
      <c r="C38" s="401">
        <f>'F 1'!F40</f>
        <v>2</v>
      </c>
      <c r="D38" s="431"/>
      <c r="E38" s="434">
        <f t="shared" si="0"/>
        <v>1</v>
      </c>
      <c r="F38" s="372" t="str">
        <f>'F 1'!D40</f>
        <v>Pedoman tertulis tentang sistem monitoring dan evaluasi, serta rekam jejak kinerja dosen dan tenaga kependidikan …</v>
      </c>
      <c r="G38" s="399"/>
      <c r="I38" s="4">
        <f>'F 1'!E40</f>
        <v>0.72</v>
      </c>
      <c r="J38" s="65">
        <f t="shared" si="1"/>
        <v>0.72</v>
      </c>
      <c r="K38" s="65">
        <f>'F 1'!F40</f>
        <v>2</v>
      </c>
    </row>
    <row r="39" spans="1:11" ht="25.5" x14ac:dyDescent="0.25">
      <c r="A39" s="378">
        <v>29</v>
      </c>
      <c r="B39" s="369" t="s">
        <v>52</v>
      </c>
      <c r="C39" s="401">
        <f>'F 1'!F41</f>
        <v>2</v>
      </c>
      <c r="D39" s="431"/>
      <c r="E39" s="434">
        <f t="shared" si="0"/>
        <v>1</v>
      </c>
      <c r="F39" s="372" t="str">
        <f>'F 1'!D41</f>
        <v>Pelaksanaan monitoring dan evaluasi kinerja dosen di bidang tridarma…</v>
      </c>
      <c r="G39" s="399"/>
      <c r="I39" s="4">
        <f>'F 1'!E41</f>
        <v>1.43</v>
      </c>
      <c r="J39" s="65">
        <f t="shared" si="1"/>
        <v>1.43</v>
      </c>
      <c r="K39" s="65">
        <f>'F 1'!F41</f>
        <v>2</v>
      </c>
    </row>
    <row r="40" spans="1:11" ht="63.75" x14ac:dyDescent="0.25">
      <c r="A40" s="378">
        <v>30</v>
      </c>
      <c r="B40" s="369" t="s">
        <v>54</v>
      </c>
      <c r="C40" s="401">
        <f>'F 1'!F42</f>
        <v>3.5555555555555562</v>
      </c>
      <c r="D40" s="431"/>
      <c r="E40" s="434">
        <f t="shared" si="0"/>
        <v>1.7777777777777781</v>
      </c>
      <c r="F40" s="372" t="str">
        <f>'F 1'!D42</f>
        <v>Jumlah dosen tetap = 6 (1 S1, 2 S2, 3 S3). Persentase dosen tetap berpendidikan (terakhir) S2 dan S3 yang bidang keahliannya sesuai dengan kompetensi PS = 083%</v>
      </c>
      <c r="G40" s="399"/>
      <c r="I40" s="4">
        <f>'F 1'!E42</f>
        <v>1.43</v>
      </c>
      <c r="J40" s="65">
        <f t="shared" si="1"/>
        <v>2.5422222222222226</v>
      </c>
      <c r="K40" s="65">
        <f>'F 1'!F42</f>
        <v>3.5555555555555562</v>
      </c>
    </row>
    <row r="41" spans="1:11" ht="51" x14ac:dyDescent="0.25">
      <c r="A41" s="378">
        <v>31</v>
      </c>
      <c r="B41" s="369" t="s">
        <v>56</v>
      </c>
      <c r="C41" s="401">
        <f>'F 1'!F43</f>
        <v>2.833333333333333</v>
      </c>
      <c r="D41" s="431"/>
      <c r="E41" s="434">
        <f t="shared" si="0"/>
        <v>1.4166666666666665</v>
      </c>
      <c r="F41" s="372" t="str">
        <f>'F 1'!D43</f>
        <v>Persentase dosen tetap yang berpendidikan S3 yang bidang keahliannya sesuai dengan kompetensi PS = (1 / 6) x 100% = 017%</v>
      </c>
      <c r="G41" s="399"/>
      <c r="I41" s="4">
        <f>'F 1'!E43</f>
        <v>2.15</v>
      </c>
      <c r="J41" s="65">
        <f t="shared" si="1"/>
        <v>3.0458333333333329</v>
      </c>
      <c r="K41" s="65">
        <f>'F 1'!F43</f>
        <v>2.833333333333333</v>
      </c>
    </row>
    <row r="42" spans="1:11" ht="51" x14ac:dyDescent="0.25">
      <c r="A42" s="378">
        <v>32</v>
      </c>
      <c r="B42" s="369" t="s">
        <v>58</v>
      </c>
      <c r="C42" s="401">
        <f>'F 1'!F44</f>
        <v>3.5</v>
      </c>
      <c r="D42" s="431"/>
      <c r="E42" s="434">
        <f t="shared" si="0"/>
        <v>1.75</v>
      </c>
      <c r="F42" s="372" t="str">
        <f>'F 1'!D44</f>
        <v>Persentase dosen tetap yang memiliki jabatan lektor kepala dan guru besar yang bidang keahliannya sesuai dengan kompetensi PS = (2 / 6) x 100% = 033%</v>
      </c>
      <c r="G42" s="399"/>
      <c r="I42" s="4">
        <f>'F 1'!E44</f>
        <v>1.43</v>
      </c>
      <c r="J42" s="65">
        <f t="shared" si="1"/>
        <v>2.5024999999999999</v>
      </c>
      <c r="K42" s="65">
        <f>'F 1'!F44</f>
        <v>3.5</v>
      </c>
    </row>
    <row r="43" spans="1:11" ht="38.25" x14ac:dyDescent="0.25">
      <c r="A43" s="378">
        <v>33</v>
      </c>
      <c r="B43" s="369" t="s">
        <v>60</v>
      </c>
      <c r="C43" s="401">
        <f>'F 1'!F45</f>
        <v>3.0454545454545454</v>
      </c>
      <c r="D43" s="431"/>
      <c r="E43" s="434">
        <f t="shared" si="0"/>
        <v>1.5227272727272727</v>
      </c>
      <c r="F43" s="372" t="str">
        <f>'F 1'!D45</f>
        <v>Persentase dosen yang memiliki Sertifikat Pendidik Profesional = (3 / 11) x 100% = 027%</v>
      </c>
      <c r="G43" s="399"/>
      <c r="I43" s="4">
        <f>'F 1'!E45</f>
        <v>0.72</v>
      </c>
      <c r="J43" s="65">
        <f t="shared" si="1"/>
        <v>1.0963636363636362</v>
      </c>
      <c r="K43" s="65">
        <f>'F 1'!F45</f>
        <v>3.0454545454545454</v>
      </c>
    </row>
    <row r="44" spans="1:11" ht="38.25" x14ac:dyDescent="0.25">
      <c r="A44" s="378">
        <v>34</v>
      </c>
      <c r="B44" s="369" t="s">
        <v>62</v>
      </c>
      <c r="C44" s="401">
        <f>'F 1'!F46</f>
        <v>3.8431372549019605</v>
      </c>
      <c r="D44" s="431"/>
      <c r="E44" s="434">
        <f t="shared" si="0"/>
        <v>1.9215686274509802</v>
      </c>
      <c r="F44" s="372" t="str">
        <f>'F 1'!D46</f>
        <v>Jumlah dosen tetap = 6. Jumlah seluruh mahasiswa PS pada TS = 98. Rasio mahasiswa terhadap dosen tetap = 016</v>
      </c>
      <c r="G44" s="399"/>
      <c r="I44" s="4">
        <f>'F 1'!E46</f>
        <v>0.72</v>
      </c>
      <c r="J44" s="65">
        <f t="shared" si="1"/>
        <v>1.3835294117647057</v>
      </c>
      <c r="K44" s="65">
        <f>'F 1'!F46</f>
        <v>3.8431372549019605</v>
      </c>
    </row>
    <row r="45" spans="1:11" ht="38.25" x14ac:dyDescent="0.25">
      <c r="A45" s="378">
        <v>35</v>
      </c>
      <c r="B45" s="369" t="s">
        <v>64</v>
      </c>
      <c r="C45" s="401">
        <f>'F 1'!F47</f>
        <v>3.25</v>
      </c>
      <c r="D45" s="431"/>
      <c r="E45" s="434">
        <f t="shared" si="0"/>
        <v>1.625</v>
      </c>
      <c r="F45" s="372" t="str">
        <f>'F 1'!D47</f>
        <v>Rata-rata beban dosen per semester, atau rata-rata FTE (Fulltime Teaching Equivalent) = 15 sks.</v>
      </c>
      <c r="G45" s="399"/>
      <c r="I45" s="4">
        <f>'F 1'!E47</f>
        <v>0.72</v>
      </c>
      <c r="J45" s="65">
        <f t="shared" si="1"/>
        <v>1.17</v>
      </c>
      <c r="K45" s="65">
        <f>'F 1'!F47</f>
        <v>3.25</v>
      </c>
    </row>
    <row r="46" spans="1:11" ht="38.25" x14ac:dyDescent="0.25">
      <c r="A46" s="378">
        <v>36</v>
      </c>
      <c r="B46" s="369" t="s">
        <v>65</v>
      </c>
      <c r="C46" s="401">
        <f>'F 1'!F48</f>
        <v>1</v>
      </c>
      <c r="D46" s="431"/>
      <c r="E46" s="434">
        <f t="shared" si="0"/>
        <v>0.5</v>
      </c>
      <c r="F46" s="372" t="str">
        <f>'F 1'!D48</f>
        <v>Sebagian besar dosen mengajar mata kuliah yang sesuai dengan bidang ilmunya.</v>
      </c>
      <c r="G46" s="399"/>
      <c r="I46" s="4">
        <f>'F 1'!E48</f>
        <v>0.72</v>
      </c>
      <c r="J46" s="65">
        <f t="shared" si="1"/>
        <v>0.36</v>
      </c>
      <c r="K46" s="65">
        <f>'F 1'!F48</f>
        <v>1</v>
      </c>
    </row>
    <row r="47" spans="1:11" ht="51" x14ac:dyDescent="0.25">
      <c r="A47" s="378">
        <v>37</v>
      </c>
      <c r="B47" s="369" t="s">
        <v>65</v>
      </c>
      <c r="C47" s="401">
        <f>'F 1'!F49</f>
        <v>4</v>
      </c>
      <c r="D47" s="431"/>
      <c r="E47" s="434">
        <f t="shared" si="0"/>
        <v>2</v>
      </c>
      <c r="F47" s="372" t="str">
        <f>'F 1'!D49</f>
        <v>Kehadiran dosen tetap dalam perkuliahan. Persentase kehadiran yang direalisasikan terhadap kehadiran yang direncanakan = 097%</v>
      </c>
      <c r="G47" s="399"/>
      <c r="I47" s="4">
        <f>'F 1'!E49</f>
        <v>0.72</v>
      </c>
      <c r="J47" s="65">
        <f t="shared" si="1"/>
        <v>1.44</v>
      </c>
      <c r="K47" s="65">
        <f>'F 1'!F49</f>
        <v>4</v>
      </c>
    </row>
    <row r="48" spans="1:11" ht="38.25" x14ac:dyDescent="0.25">
      <c r="A48" s="378">
        <v>38</v>
      </c>
      <c r="B48" s="369" t="s">
        <v>68</v>
      </c>
      <c r="C48" s="401">
        <f>'F 1'!F50</f>
        <v>1.849315068493151</v>
      </c>
      <c r="D48" s="431"/>
      <c r="E48" s="434">
        <f t="shared" si="0"/>
        <v>0.92465753424657549</v>
      </c>
      <c r="F48" s="372" t="str">
        <f>'F 1'!D50</f>
        <v>Persentase jumlah dosen tidak tetap, terhadap jumlah seluruh dosen = (23 / 73) x 100% = 032%</v>
      </c>
      <c r="G48" s="399"/>
      <c r="I48" s="4">
        <f>'F 1'!E50</f>
        <v>0.72</v>
      </c>
      <c r="J48" s="65">
        <f t="shared" si="1"/>
        <v>0.66575342465753429</v>
      </c>
      <c r="K48" s="65">
        <f>'F 1'!F50</f>
        <v>1.849315068493151</v>
      </c>
    </row>
    <row r="49" spans="1:11" ht="38.25" x14ac:dyDescent="0.25">
      <c r="A49" s="378">
        <v>39</v>
      </c>
      <c r="B49" s="369" t="s">
        <v>70</v>
      </c>
      <c r="C49" s="401">
        <f>'F 1'!F51</f>
        <v>3</v>
      </c>
      <c r="D49" s="431"/>
      <c r="E49" s="434">
        <f t="shared" si="0"/>
        <v>1.5</v>
      </c>
      <c r="F49" s="372" t="str">
        <f>'F 1'!D51</f>
        <v>Sebagian besar dosen tidak tetap telah mengajar mata kuliah yang sesuai bidangnya.</v>
      </c>
      <c r="G49" s="399"/>
      <c r="I49" s="4">
        <f>'F 1'!E51</f>
        <v>0.72</v>
      </c>
      <c r="J49" s="65">
        <f t="shared" si="1"/>
        <v>1.08</v>
      </c>
      <c r="K49" s="65">
        <f>'F 1'!F51</f>
        <v>3</v>
      </c>
    </row>
    <row r="50" spans="1:11" ht="51" x14ac:dyDescent="0.25">
      <c r="A50" s="378">
        <v>40</v>
      </c>
      <c r="B50" s="369" t="s">
        <v>72</v>
      </c>
      <c r="C50" s="401">
        <f>'F 1'!F52</f>
        <v>4</v>
      </c>
      <c r="D50" s="431"/>
      <c r="E50" s="434">
        <f t="shared" si="0"/>
        <v>2</v>
      </c>
      <c r="F50" s="372" t="str">
        <f>'F 1'!D52</f>
        <v>Kehadiran dosen tidak tetap dalam perkuliahan. Persentase kehadiran yang direalisasikan terhadap kehadiran yang direncanakan = 098%</v>
      </c>
      <c r="G50" s="399"/>
      <c r="I50" s="4">
        <f>'F 1'!E52</f>
        <v>0.72</v>
      </c>
      <c r="J50" s="65">
        <f t="shared" si="1"/>
        <v>1.44</v>
      </c>
      <c r="K50" s="65">
        <f>'F 1'!F52</f>
        <v>4</v>
      </c>
    </row>
    <row r="51" spans="1:11" ht="51" x14ac:dyDescent="0.25">
      <c r="A51" s="378">
        <v>41</v>
      </c>
      <c r="B51" s="369" t="s">
        <v>74</v>
      </c>
      <c r="C51" s="401">
        <f>'F 1'!F53</f>
        <v>2.25</v>
      </c>
      <c r="D51" s="431"/>
      <c r="E51" s="434">
        <f t="shared" si="0"/>
        <v>1.125</v>
      </c>
      <c r="F51" s="372" t="str">
        <f>'F 1'!D53</f>
        <v>Jumlah tenaga ahli/pakar yang telah diundang sebagai pembicara dalam seminar/pelatihan, pembicara tamu = 5 orang.</v>
      </c>
      <c r="G51" s="399"/>
      <c r="I51" s="4">
        <f>'F 1'!E53</f>
        <v>0.72</v>
      </c>
      <c r="J51" s="65">
        <f t="shared" si="1"/>
        <v>0.80999999999999994</v>
      </c>
      <c r="K51" s="65">
        <f>'F 1'!F53</f>
        <v>2.25</v>
      </c>
    </row>
    <row r="52" spans="1:11" ht="38.25" x14ac:dyDescent="0.25">
      <c r="A52" s="378">
        <v>42</v>
      </c>
      <c r="B52" s="369" t="s">
        <v>76</v>
      </c>
      <c r="C52" s="401">
        <f>'F 1'!F54</f>
        <v>3</v>
      </c>
      <c r="D52" s="431"/>
      <c r="E52" s="434">
        <f t="shared" si="0"/>
        <v>1.5</v>
      </c>
      <c r="F52" s="372" t="str">
        <f>'F 1'!D54</f>
        <v>Jumlah dosen tugas belajar S2 sesuai bidang PS = 4 orang, dan S3 sesuai bidang PS = 0 orang.</v>
      </c>
      <c r="G52" s="399"/>
      <c r="I52" s="4">
        <f>'F 1'!E54</f>
        <v>0.72</v>
      </c>
      <c r="J52" s="65">
        <f t="shared" si="1"/>
        <v>1.08</v>
      </c>
      <c r="K52" s="65">
        <f>'F 1'!F54</f>
        <v>3</v>
      </c>
    </row>
    <row r="53" spans="1:11" ht="63.75" x14ac:dyDescent="0.25">
      <c r="A53" s="378">
        <v>43</v>
      </c>
      <c r="B53" s="369" t="s">
        <v>78</v>
      </c>
      <c r="C53" s="401">
        <f>'F 1'!F55</f>
        <v>1.7916666666666665</v>
      </c>
      <c r="D53" s="431"/>
      <c r="E53" s="434">
        <f t="shared" si="0"/>
        <v>0.89583333333333326</v>
      </c>
      <c r="F53" s="372" t="str">
        <f>'F 1'!D55</f>
        <v>Jumlah dosen tetap yang bidang keahliannya sesuai bidang PS = 6 orang. Jumlah kehadiran sebagai penyaji = 0 kali. Jumlah kehadiran sebagai peserta = 19 kali. SP = (0+19/4 ) = 001</v>
      </c>
      <c r="G53" s="399"/>
      <c r="I53" s="4">
        <f>'F 1'!E55</f>
        <v>1.43</v>
      </c>
      <c r="J53" s="65">
        <f t="shared" si="1"/>
        <v>1.2810416666666664</v>
      </c>
      <c r="K53" s="65">
        <f>'F 1'!F55</f>
        <v>1.7916666666666665</v>
      </c>
    </row>
    <row r="54" spans="1:11" ht="38.25" x14ac:dyDescent="0.25">
      <c r="A54" s="378">
        <v>44</v>
      </c>
      <c r="B54" s="369" t="s">
        <v>79</v>
      </c>
      <c r="C54" s="401">
        <f>'F 1'!F56</f>
        <v>0</v>
      </c>
      <c r="D54" s="431"/>
      <c r="E54" s="434">
        <f t="shared" si="0"/>
        <v>0</v>
      </c>
      <c r="F54" s="372" t="str">
        <f>'F 1'!D56</f>
        <v>Prestasi dalam mendapatkan penghargaan hibah dalam tiga tahun terakhir:</v>
      </c>
      <c r="G54" s="399"/>
      <c r="I54" s="4">
        <f>'F 1'!E56</f>
        <v>1.43</v>
      </c>
      <c r="J54" s="65">
        <f t="shared" si="1"/>
        <v>0</v>
      </c>
      <c r="K54" s="65">
        <f>'F 1'!F56</f>
        <v>0</v>
      </c>
    </row>
    <row r="55" spans="1:11" ht="25.5" x14ac:dyDescent="0.25">
      <c r="A55" s="378">
        <v>45</v>
      </c>
      <c r="B55" s="369" t="s">
        <v>81</v>
      </c>
      <c r="C55" s="401">
        <f>'F 1'!F57</f>
        <v>0</v>
      </c>
      <c r="D55" s="431"/>
      <c r="E55" s="434">
        <f t="shared" si="0"/>
        <v>0</v>
      </c>
      <c r="F55" s="372" t="str">
        <f>'F 1'!D57</f>
        <v>Persentase dosen yang menjadi anggota masyarakat bidang ilmu = 015%</v>
      </c>
      <c r="G55" s="399"/>
      <c r="I55" s="4">
        <f>'F 1'!E57</f>
        <v>1.08</v>
      </c>
      <c r="J55" s="65">
        <f t="shared" si="1"/>
        <v>0</v>
      </c>
      <c r="K55" s="65">
        <f>'F 1'!F57</f>
        <v>0</v>
      </c>
    </row>
    <row r="56" spans="1:11" ht="25.5" x14ac:dyDescent="0.25">
      <c r="A56" s="378">
        <v>46</v>
      </c>
      <c r="B56" s="369" t="s">
        <v>83</v>
      </c>
      <c r="C56" s="401">
        <f>'F 1'!F58</f>
        <v>4</v>
      </c>
      <c r="D56" s="431"/>
      <c r="E56" s="434">
        <f t="shared" si="0"/>
        <v>2</v>
      </c>
      <c r="F56" s="372" t="str">
        <f>'F 1'!D58</f>
        <v>Jumlah pustakawan = 8 orang, dengan rincian sbb:</v>
      </c>
      <c r="G56" s="399"/>
      <c r="I56" s="4">
        <f>'F 1'!E58</f>
        <v>0.72</v>
      </c>
      <c r="J56" s="65">
        <f t="shared" si="1"/>
        <v>1.44</v>
      </c>
      <c r="K56" s="65">
        <f>'F 1'!F58</f>
        <v>4</v>
      </c>
    </row>
    <row r="57" spans="1:11" ht="25.5" x14ac:dyDescent="0.25">
      <c r="A57" s="378">
        <v>47</v>
      </c>
      <c r="B57" s="369" t="s">
        <v>85</v>
      </c>
      <c r="C57" s="401">
        <f>'F 1'!F59</f>
        <v>2</v>
      </c>
      <c r="D57" s="431"/>
      <c r="E57" s="434">
        <f t="shared" si="0"/>
        <v>1</v>
      </c>
      <c r="F57" s="372" t="str">
        <f>'F 1'!D59</f>
        <v>Jumlah tenaga laboran = , teknisi = , operator = , dan programer = .</v>
      </c>
      <c r="G57" s="399"/>
      <c r="I57" s="4">
        <f>'F 1'!E59</f>
        <v>0.72</v>
      </c>
      <c r="J57" s="65">
        <f t="shared" si="1"/>
        <v>0.72</v>
      </c>
      <c r="K57" s="65">
        <f>'F 1'!F59</f>
        <v>2</v>
      </c>
    </row>
    <row r="58" spans="1:11" ht="25.5" x14ac:dyDescent="0.25">
      <c r="A58" s="378">
        <v>48</v>
      </c>
      <c r="B58" s="369" t="s">
        <v>87</v>
      </c>
      <c r="C58" s="401">
        <f>'F 1'!F60</f>
        <v>1.25</v>
      </c>
      <c r="D58" s="431"/>
      <c r="E58" s="434">
        <f t="shared" si="0"/>
        <v>0.625</v>
      </c>
      <c r="F58" s="372" t="str">
        <f>'F 1'!D60</f>
        <v>Jumlah tenaga administrasi = 2, dengan rincian sebagai berikut:</v>
      </c>
      <c r="G58" s="399"/>
      <c r="I58" s="4">
        <f>'F 1'!E60</f>
        <v>0.72</v>
      </c>
      <c r="J58" s="65">
        <f t="shared" si="1"/>
        <v>0.44999999999999996</v>
      </c>
      <c r="K58" s="65">
        <f>'F 1'!F60</f>
        <v>1.25</v>
      </c>
    </row>
    <row r="59" spans="1:11" ht="51" x14ac:dyDescent="0.25">
      <c r="A59" s="378">
        <v>49</v>
      </c>
      <c r="B59" s="369" t="s">
        <v>89</v>
      </c>
      <c r="C59" s="401">
        <f>'F 1'!F61</f>
        <v>4</v>
      </c>
      <c r="D59" s="431"/>
      <c r="E59" s="434">
        <f t="shared" si="0"/>
        <v>2</v>
      </c>
      <c r="F59" s="372" t="str">
        <f>'F 1'!D61</f>
        <v xml:space="preserve">Upaya yang telah dilakukan PS untuk meningkatkan kualifikasi dan kompetensi tenaga kependidikan antara lain: </v>
      </c>
      <c r="G59" s="399"/>
      <c r="I59" s="4">
        <f>'F 1'!E61</f>
        <v>0.72</v>
      </c>
      <c r="J59" s="65">
        <f t="shared" si="1"/>
        <v>1.44</v>
      </c>
      <c r="K59" s="65">
        <f>'F 1'!F61</f>
        <v>4</v>
      </c>
    </row>
    <row r="60" spans="1:11" ht="25.5" x14ac:dyDescent="0.25">
      <c r="A60" s="378">
        <v>50</v>
      </c>
      <c r="B60" s="369" t="s">
        <v>91</v>
      </c>
      <c r="C60" s="401">
        <f>'F 1'!F62</f>
        <v>3</v>
      </c>
      <c r="D60" s="431"/>
      <c r="E60" s="434">
        <f t="shared" si="0"/>
        <v>1.5</v>
      </c>
      <c r="F60" s="372" t="str">
        <f>'F 1'!D62</f>
        <v>Kelengkapan dan perumusan kompetensi dalam kurikulum:</v>
      </c>
      <c r="G60" s="399"/>
      <c r="I60" s="4">
        <f>'F 1'!E62</f>
        <v>0.56999999999999995</v>
      </c>
      <c r="J60" s="65">
        <f t="shared" si="1"/>
        <v>0.85499999999999998</v>
      </c>
      <c r="K60" s="65">
        <f>'F 1'!F62</f>
        <v>3</v>
      </c>
    </row>
    <row r="61" spans="1:11" ht="25.5" x14ac:dyDescent="0.25">
      <c r="A61" s="378">
        <v>51</v>
      </c>
      <c r="B61" s="369" t="s">
        <v>93</v>
      </c>
      <c r="C61" s="401">
        <f>'F 1'!F63</f>
        <v>2.5</v>
      </c>
      <c r="D61" s="431"/>
      <c r="E61" s="434">
        <f t="shared" si="0"/>
        <v>1.25</v>
      </c>
      <c r="F61" s="372" t="str">
        <f>'F 1'!D63</f>
        <v>Kesesuaian kurikulum dengan visi dan misi PS:</v>
      </c>
      <c r="G61" s="399"/>
      <c r="I61" s="4">
        <f>'F 1'!E63</f>
        <v>0.56999999999999995</v>
      </c>
      <c r="J61" s="65">
        <f t="shared" si="1"/>
        <v>0.71249999999999991</v>
      </c>
      <c r="K61" s="65">
        <f>'F 1'!F63</f>
        <v>2.5</v>
      </c>
    </row>
    <row r="62" spans="1:11" ht="25.5" x14ac:dyDescent="0.25">
      <c r="A62" s="378">
        <v>52</v>
      </c>
      <c r="B62" s="369" t="s">
        <v>95</v>
      </c>
      <c r="C62" s="401">
        <f>'F 1'!F64</f>
        <v>3</v>
      </c>
      <c r="D62" s="431"/>
      <c r="E62" s="434">
        <f t="shared" si="0"/>
        <v>1.5</v>
      </c>
      <c r="F62" s="372" t="str">
        <f>'F 1'!D64</f>
        <v>Kesesuaian mata kuliah dan urutannya dengan standar kompetensi PS:</v>
      </c>
      <c r="G62" s="399"/>
      <c r="I62" s="4">
        <f>'F 1'!E64</f>
        <v>0.56999999999999995</v>
      </c>
      <c r="J62" s="65">
        <f t="shared" si="1"/>
        <v>0.85499999999999998</v>
      </c>
      <c r="K62" s="65">
        <f>'F 1'!F64</f>
        <v>3</v>
      </c>
    </row>
    <row r="63" spans="1:11" ht="63.75" x14ac:dyDescent="0.25">
      <c r="A63" s="378">
        <v>53</v>
      </c>
      <c r="B63" s="369" t="s">
        <v>97</v>
      </c>
      <c r="C63" s="401">
        <f>'F 1'!F65</f>
        <v>4</v>
      </c>
      <c r="D63" s="431"/>
      <c r="E63" s="434">
        <f t="shared" si="0"/>
        <v>2</v>
      </c>
      <c r="F63" s="372" t="str">
        <f>'F 1'!D65</f>
        <v>Persentase mata kuliah  yang dalam penentuan nilai akhirnya memberikan bobot pada tugas-tugas (prektikum/praktek, PR atau makalah) ≥ 20% = (98/100) x 100% = 098%</v>
      </c>
      <c r="G63" s="399"/>
      <c r="I63" s="4">
        <f>'F 1'!E65</f>
        <v>0.56999999999999995</v>
      </c>
      <c r="J63" s="65">
        <f t="shared" si="1"/>
        <v>1.1399999999999999</v>
      </c>
      <c r="K63" s="65">
        <f>'F 1'!F65</f>
        <v>4</v>
      </c>
    </row>
    <row r="64" spans="1:11" ht="38.25" x14ac:dyDescent="0.25">
      <c r="A64" s="378">
        <v>54</v>
      </c>
      <c r="B64" s="369" t="s">
        <v>98</v>
      </c>
      <c r="C64" s="401">
        <f>'F 1'!F66</f>
        <v>1.9999999999999996</v>
      </c>
      <c r="D64" s="431"/>
      <c r="E64" s="434">
        <f t="shared" si="0"/>
        <v>0.99999999999999978</v>
      </c>
      <c r="F64" s="372" t="str">
        <f>'F 1'!D66</f>
        <v>Persentase mata kuliah yang memiliki deskripsi, silabus dan SAP = (75/100) x 100% = 075%</v>
      </c>
      <c r="G64" s="399"/>
      <c r="I64" s="4">
        <f>'F 1'!E66</f>
        <v>0.56999999999999995</v>
      </c>
      <c r="J64" s="65">
        <f t="shared" si="1"/>
        <v>0.56999999999999984</v>
      </c>
      <c r="K64" s="65">
        <f>'F 1'!F66</f>
        <v>1.9999999999999996</v>
      </c>
    </row>
    <row r="65" spans="1:11" ht="38.25" x14ac:dyDescent="0.25">
      <c r="A65" s="378">
        <v>55</v>
      </c>
      <c r="B65" s="369" t="s">
        <v>100</v>
      </c>
      <c r="C65" s="401">
        <f>'F 1'!F67</f>
        <v>4</v>
      </c>
      <c r="D65" s="431"/>
      <c r="E65" s="434">
        <f t="shared" si="0"/>
        <v>2</v>
      </c>
      <c r="F65" s="372" t="str">
        <f>'F 1'!D67</f>
        <v>Rasio sks mata kuliah pilihan yang disediakan terhadap jumlah sks yang diwajibkan = (24/10) = 002 kali.</v>
      </c>
      <c r="G65" s="399"/>
      <c r="I65" s="4">
        <f>'F 1'!E67</f>
        <v>0.56999999999999995</v>
      </c>
      <c r="J65" s="65">
        <f t="shared" si="1"/>
        <v>1.1399999999999999</v>
      </c>
      <c r="K65" s="65">
        <f>'F 1'!F67</f>
        <v>4</v>
      </c>
    </row>
    <row r="66" spans="1:11" ht="25.5" x14ac:dyDescent="0.25">
      <c r="A66" s="378">
        <v>56</v>
      </c>
      <c r="B66" s="369" t="s">
        <v>102</v>
      </c>
      <c r="C66" s="401">
        <f>'F 1'!F68</f>
        <v>1</v>
      </c>
      <c r="D66" s="431"/>
      <c r="E66" s="434">
        <f t="shared" si="0"/>
        <v>0.5</v>
      </c>
      <c r="F66" s="372" t="str">
        <f>'F 1'!D68</f>
        <v>Substansi praktikum dan pelaksanaan praktikum.</v>
      </c>
      <c r="G66" s="399"/>
      <c r="I66" s="4">
        <f>'F 1'!E68</f>
        <v>1.1399999999999999</v>
      </c>
      <c r="J66" s="65">
        <f t="shared" si="1"/>
        <v>0.56999999999999995</v>
      </c>
      <c r="K66" s="65">
        <f>'F 1'!F68</f>
        <v>1</v>
      </c>
    </row>
    <row r="67" spans="1:11" ht="25.5" x14ac:dyDescent="0.25">
      <c r="A67" s="378">
        <v>57</v>
      </c>
      <c r="B67" s="369" t="s">
        <v>104</v>
      </c>
      <c r="C67" s="401">
        <f>'F 1'!F69</f>
        <v>2</v>
      </c>
      <c r="D67" s="431"/>
      <c r="E67" s="434">
        <f t="shared" si="0"/>
        <v>1</v>
      </c>
      <c r="F67" s="372" t="str">
        <f>'F 1'!D69</f>
        <v>Pelaksanaan peninjauan praktikum dalam lima tahun terakhir.</v>
      </c>
      <c r="G67" s="399"/>
      <c r="I67" s="4">
        <f>'F 1'!E69</f>
        <v>0.56999999999999995</v>
      </c>
      <c r="J67" s="65">
        <f t="shared" si="1"/>
        <v>0.56999999999999995</v>
      </c>
      <c r="K67" s="65">
        <f>'F 1'!F69</f>
        <v>2</v>
      </c>
    </row>
    <row r="68" spans="1:11" ht="38.25" x14ac:dyDescent="0.25">
      <c r="A68" s="378">
        <v>58</v>
      </c>
      <c r="B68" s="369" t="s">
        <v>106</v>
      </c>
      <c r="C68" s="401">
        <f>'F 1'!F70</f>
        <v>0</v>
      </c>
      <c r="D68" s="431"/>
      <c r="E68" s="434">
        <f t="shared" si="0"/>
        <v>0</v>
      </c>
      <c r="F68" s="372" t="str">
        <f>'F 1'!D70</f>
        <v>Penyesuaian kurikulum dengan perkembangan Ipteks dan kebutuhan lapangan kerja.</v>
      </c>
      <c r="G68" s="399"/>
      <c r="I68" s="4">
        <f>'F 1'!E70</f>
        <v>0.56999999999999995</v>
      </c>
      <c r="J68" s="65">
        <f t="shared" si="1"/>
        <v>0</v>
      </c>
      <c r="K68" s="65">
        <f>'F 1'!F70</f>
        <v>0</v>
      </c>
    </row>
    <row r="69" spans="1:11" ht="51" x14ac:dyDescent="0.25">
      <c r="A69" s="378">
        <v>59</v>
      </c>
      <c r="B69" s="369" t="s">
        <v>108</v>
      </c>
      <c r="C69" s="401">
        <f>'F 1'!F71</f>
        <v>1</v>
      </c>
      <c r="D69" s="431"/>
      <c r="E69" s="434">
        <f t="shared" si="0"/>
        <v>0.5</v>
      </c>
      <c r="F69" s="372" t="str">
        <f>'F 1'!D71</f>
        <v>Monitoring terhadap proses pembelajaran mencakup: (a) kehadiran mahasiswa, (b) kehadiran dosen, (c) materi kuliah.</v>
      </c>
      <c r="G69" s="399"/>
      <c r="I69" s="4">
        <f>'F 1'!E71</f>
        <v>1.1399999999999999</v>
      </c>
      <c r="J69" s="65">
        <f t="shared" si="1"/>
        <v>0.56999999999999995</v>
      </c>
      <c r="K69" s="65">
        <f>'F 1'!F71</f>
        <v>1</v>
      </c>
    </row>
    <row r="70" spans="1:11" x14ac:dyDescent="0.25">
      <c r="A70" s="378">
        <v>60</v>
      </c>
      <c r="B70" s="369" t="s">
        <v>109</v>
      </c>
      <c r="C70" s="401">
        <f>'F 1'!F72</f>
        <v>1</v>
      </c>
      <c r="D70" s="431"/>
      <c r="E70" s="434">
        <f t="shared" si="0"/>
        <v>0.5</v>
      </c>
      <c r="F70" s="372" t="str">
        <f>'F 1'!D72</f>
        <v>Mekanisme penyusunan materi kuliah.</v>
      </c>
      <c r="G70" s="399"/>
      <c r="I70" s="4">
        <f>'F 1'!E72</f>
        <v>0.56999999999999995</v>
      </c>
      <c r="J70" s="65">
        <f t="shared" si="1"/>
        <v>0.28499999999999998</v>
      </c>
      <c r="K70" s="65">
        <f>'F 1'!F72</f>
        <v>1</v>
      </c>
    </row>
    <row r="71" spans="1:11" x14ac:dyDescent="0.25">
      <c r="A71" s="378">
        <v>61</v>
      </c>
      <c r="B71" s="369" t="s">
        <v>111</v>
      </c>
      <c r="C71" s="401">
        <f>'F 1'!F73</f>
        <v>2</v>
      </c>
      <c r="D71" s="431"/>
      <c r="E71" s="434">
        <f t="shared" si="0"/>
        <v>1</v>
      </c>
      <c r="F71" s="372" t="str">
        <f>'F 1'!D73</f>
        <v>Mutu soal ujian.</v>
      </c>
      <c r="G71" s="399"/>
      <c r="I71" s="4">
        <f>'F 1'!E73</f>
        <v>0.56999999999999995</v>
      </c>
      <c r="J71" s="65">
        <f t="shared" si="1"/>
        <v>0.56999999999999995</v>
      </c>
      <c r="K71" s="65">
        <f>'F 1'!F73</f>
        <v>2</v>
      </c>
    </row>
    <row r="72" spans="1:11" ht="38.25" x14ac:dyDescent="0.25">
      <c r="A72" s="378">
        <v>62</v>
      </c>
      <c r="B72" s="369" t="s">
        <v>386</v>
      </c>
      <c r="C72" s="401">
        <f>'F 1'!F74</f>
        <v>4</v>
      </c>
      <c r="D72" s="431"/>
      <c r="E72" s="434">
        <f t="shared" si="0"/>
        <v>2</v>
      </c>
      <c r="F72" s="372" t="str">
        <f>'F 1'!D74</f>
        <v>Rata-rata banyaknya mahasiswa per dosen pembimbing akademik (PA) = (80/5) = 16 mahasiswa/dosen PA.</v>
      </c>
      <c r="G72" s="399"/>
      <c r="I72" s="4">
        <f>'F 1'!E74</f>
        <v>0.56999999999999995</v>
      </c>
      <c r="J72" s="65">
        <f t="shared" si="1"/>
        <v>1.1399999999999999</v>
      </c>
      <c r="K72" s="65">
        <f>'F 1'!F74</f>
        <v>4</v>
      </c>
    </row>
    <row r="73" spans="1:11" ht="25.5" x14ac:dyDescent="0.25">
      <c r="A73" s="378">
        <v>63</v>
      </c>
      <c r="B73" s="369" t="s">
        <v>387</v>
      </c>
      <c r="C73" s="401">
        <f>'F 1'!F75</f>
        <v>2.5</v>
      </c>
      <c r="D73" s="431"/>
      <c r="E73" s="434">
        <f t="shared" si="0"/>
        <v>1.25</v>
      </c>
      <c r="F73" s="372" t="str">
        <f>'F 1'!D75</f>
        <v>Pelaksanaan kegiatan pembimbingan akademik:</v>
      </c>
      <c r="G73" s="399"/>
      <c r="I73" s="4">
        <f>'F 1'!E75</f>
        <v>0.56999999999999995</v>
      </c>
      <c r="J73" s="65">
        <f t="shared" si="1"/>
        <v>0.71249999999999991</v>
      </c>
      <c r="K73" s="65">
        <f>'F 1'!F75</f>
        <v>2.5</v>
      </c>
    </row>
    <row r="74" spans="1:11" ht="38.25" x14ac:dyDescent="0.25">
      <c r="A74" s="378">
        <v>64</v>
      </c>
      <c r="B74" s="369" t="s">
        <v>388</v>
      </c>
      <c r="C74" s="401">
        <f>'F 1'!F76</f>
        <v>4</v>
      </c>
      <c r="D74" s="431"/>
      <c r="E74" s="434">
        <f t="shared" si="0"/>
        <v>2</v>
      </c>
      <c r="F74" s="372" t="str">
        <f>'F 1'!D76</f>
        <v>Jumlah rata-rata pertemuan pembimbingan per mahasiswa per semester = 5 kali.</v>
      </c>
      <c r="G74" s="399"/>
      <c r="I74" s="4">
        <f>'F 1'!E76</f>
        <v>0.56999999999999995</v>
      </c>
      <c r="J74" s="65">
        <f t="shared" si="1"/>
        <v>1.1399999999999999</v>
      </c>
      <c r="K74" s="65">
        <f>'F 1'!F76</f>
        <v>4</v>
      </c>
    </row>
    <row r="75" spans="1:11" ht="25.5" x14ac:dyDescent="0.25">
      <c r="A75" s="378">
        <v>65</v>
      </c>
      <c r="B75" s="369" t="s">
        <v>389</v>
      </c>
      <c r="C75" s="401">
        <f>'F 1'!F77</f>
        <v>2.5</v>
      </c>
      <c r="D75" s="431"/>
      <c r="E75" s="434">
        <f t="shared" si="0"/>
        <v>1.25</v>
      </c>
      <c r="F75" s="372" t="str">
        <f>'F 1'!D77</f>
        <v>Efektivitas kegiatan perwalian/pembimbingan akademik:</v>
      </c>
      <c r="G75" s="399"/>
      <c r="I75" s="4">
        <f>'F 1'!E77</f>
        <v>0.56999999999999995</v>
      </c>
      <c r="J75" s="65">
        <f t="shared" si="1"/>
        <v>0.71249999999999991</v>
      </c>
      <c r="K75" s="65">
        <f>'F 1'!F77</f>
        <v>2.5</v>
      </c>
    </row>
    <row r="76" spans="1:11" ht="38.25" x14ac:dyDescent="0.25">
      <c r="A76" s="378">
        <v>66</v>
      </c>
      <c r="B76" s="369" t="s">
        <v>117</v>
      </c>
      <c r="C76" s="401">
        <f>'F 1'!F78</f>
        <v>2</v>
      </c>
      <c r="D76" s="431"/>
      <c r="E76" s="434">
        <f t="shared" ref="E76:E110" si="2">(C76+D76)/2</f>
        <v>1</v>
      </c>
      <c r="F76" s="372" t="str">
        <f>'F 1'!D78</f>
        <v>Ketersediaan panduan tugas akhir, sosialisasi dan konsistensi pelaksanaannya.</v>
      </c>
      <c r="G76" s="399"/>
      <c r="I76" s="4">
        <f>'F 1'!E78</f>
        <v>0.56999999999999995</v>
      </c>
      <c r="J76" s="65">
        <f t="shared" ref="J76:J110" si="3">E76*I76</f>
        <v>0.56999999999999995</v>
      </c>
      <c r="K76" s="65">
        <f>'F 1'!F78</f>
        <v>2</v>
      </c>
    </row>
    <row r="77" spans="1:11" ht="38.25" x14ac:dyDescent="0.25">
      <c r="A77" s="378">
        <v>67</v>
      </c>
      <c r="B77" s="369" t="s">
        <v>119</v>
      </c>
      <c r="C77" s="401">
        <f>'F 1'!F79</f>
        <v>4</v>
      </c>
      <c r="D77" s="431"/>
      <c r="E77" s="434">
        <f t="shared" si="2"/>
        <v>2</v>
      </c>
      <c r="F77" s="372" t="str">
        <f>'F 1'!D79</f>
        <v>Rata-rata mahasiswa per dosen pembimbing tugas akhir = (19/7) = 003 mahasiswa/dosen TA.</v>
      </c>
      <c r="G77" s="399"/>
      <c r="I77" s="4">
        <f>'F 1'!E79</f>
        <v>0.56999999999999995</v>
      </c>
      <c r="J77" s="65">
        <f t="shared" si="3"/>
        <v>1.1399999999999999</v>
      </c>
      <c r="K77" s="65">
        <f>'F 1'!F79</f>
        <v>4</v>
      </c>
    </row>
    <row r="78" spans="1:11" ht="25.5" x14ac:dyDescent="0.25">
      <c r="A78" s="378">
        <v>68</v>
      </c>
      <c r="B78" s="369" t="s">
        <v>121</v>
      </c>
      <c r="C78" s="401">
        <f>'F 1'!F80</f>
        <v>3.5</v>
      </c>
      <c r="D78" s="431"/>
      <c r="E78" s="434">
        <f t="shared" si="2"/>
        <v>1.75</v>
      </c>
      <c r="F78" s="372" t="str">
        <f>'F 1'!D80</f>
        <v>Rata-rata jumlah pertemuan/pembimbingan TA = 7 kali.</v>
      </c>
      <c r="G78" s="399"/>
      <c r="I78" s="4">
        <f>'F 1'!E80</f>
        <v>0.56999999999999995</v>
      </c>
      <c r="J78" s="65">
        <f t="shared" si="3"/>
        <v>0.99749999999999994</v>
      </c>
      <c r="K78" s="65">
        <f>'F 1'!F80</f>
        <v>3.5</v>
      </c>
    </row>
    <row r="79" spans="1:11" ht="25.5" x14ac:dyDescent="0.25">
      <c r="A79" s="378">
        <v>69</v>
      </c>
      <c r="B79" s="369" t="s">
        <v>122</v>
      </c>
      <c r="C79" s="401">
        <f>'F 1'!F81</f>
        <v>2.5</v>
      </c>
      <c r="D79" s="431"/>
      <c r="E79" s="434">
        <f t="shared" si="2"/>
        <v>1.25</v>
      </c>
      <c r="F79" s="372" t="str">
        <f>'F 1'!D81</f>
        <v>Kualifikasi akademik dosen pembimbing tugas akhir.</v>
      </c>
      <c r="G79" s="399"/>
      <c r="I79" s="4">
        <f>'F 1'!E81</f>
        <v>1.1399999999999999</v>
      </c>
      <c r="J79" s="65">
        <f t="shared" si="3"/>
        <v>1.4249999999999998</v>
      </c>
      <c r="K79" s="65">
        <f>'F 1'!F81</f>
        <v>2.5</v>
      </c>
    </row>
    <row r="80" spans="1:11" ht="63.75" x14ac:dyDescent="0.25">
      <c r="A80" s="378">
        <v>70</v>
      </c>
      <c r="B80" s="369" t="s">
        <v>124</v>
      </c>
      <c r="C80" s="401">
        <f>'F 1'!F82</f>
        <v>4</v>
      </c>
      <c r="D80" s="431"/>
      <c r="E80" s="434">
        <f t="shared" si="2"/>
        <v>2</v>
      </c>
      <c r="F80" s="372" t="str">
        <f>'F 1'!D82</f>
        <v>Dalam kurikulum, tugas akhir direncanakan selesai dalam … semester.  Dalam realisasinya, rata-rata waktu penyelesaian tugas akhir = 4 bulan.</v>
      </c>
      <c r="G80" s="399"/>
      <c r="I80" s="4">
        <f>'F 1'!E82</f>
        <v>1.1399999999999999</v>
      </c>
      <c r="J80" s="65">
        <f t="shared" si="3"/>
        <v>2.2799999999999998</v>
      </c>
      <c r="K80" s="65">
        <f>'F 1'!F82</f>
        <v>4</v>
      </c>
    </row>
    <row r="81" spans="1:11" ht="38.25" x14ac:dyDescent="0.25">
      <c r="A81" s="378">
        <v>71</v>
      </c>
      <c r="B81" s="369">
        <v>5.6</v>
      </c>
      <c r="C81" s="401">
        <f>'F 1'!F83</f>
        <v>1</v>
      </c>
      <c r="D81" s="431"/>
      <c r="E81" s="434">
        <f t="shared" si="2"/>
        <v>0.5</v>
      </c>
      <c r="F81" s="372" t="str">
        <f>'F 1'!D83</f>
        <v xml:space="preserve">Upaya perbaikan sistem pembelajaran yang telah dilakukan selama tiga tahun terakhir antara lain: </v>
      </c>
      <c r="G81" s="399"/>
      <c r="I81" s="4">
        <f>'F 1'!E83</f>
        <v>0.56999999999999995</v>
      </c>
      <c r="J81" s="65">
        <f t="shared" si="3"/>
        <v>0.28499999999999998</v>
      </c>
      <c r="K81" s="65">
        <f>'F 1'!F83</f>
        <v>1</v>
      </c>
    </row>
    <row r="82" spans="1:11" ht="63.75" x14ac:dyDescent="0.25">
      <c r="A82" s="378">
        <v>72</v>
      </c>
      <c r="B82" s="369" t="s">
        <v>127</v>
      </c>
      <c r="C82" s="401">
        <f>'F 1'!F84</f>
        <v>1</v>
      </c>
      <c r="D82" s="431"/>
      <c r="E82" s="434">
        <f t="shared" si="2"/>
        <v>0.5</v>
      </c>
      <c r="F82" s="372" t="str">
        <f>'F 1'!D84</f>
        <v>Kebijakan tertulis tentang suasana akademik (otonomi keilmuan, kebebasan akademik, kebebasan mimbar akademik, kemitraan dosen-mahasiswa):…</v>
      </c>
      <c r="G82" s="399"/>
      <c r="I82" s="4">
        <f>'F 1'!E84</f>
        <v>0.56999999999999995</v>
      </c>
      <c r="J82" s="65">
        <f t="shared" si="3"/>
        <v>0.28499999999999998</v>
      </c>
      <c r="K82" s="65">
        <f>'F 1'!F84</f>
        <v>1</v>
      </c>
    </row>
    <row r="83" spans="1:11" ht="38.25" x14ac:dyDescent="0.25">
      <c r="A83" s="378">
        <v>73</v>
      </c>
      <c r="B83" s="369" t="s">
        <v>129</v>
      </c>
      <c r="C83" s="401">
        <f>'F 1'!F85</f>
        <v>1</v>
      </c>
      <c r="D83" s="431"/>
      <c r="E83" s="434">
        <f t="shared" si="2"/>
        <v>0.5</v>
      </c>
      <c r="F83" s="372" t="str">
        <f>'F 1'!D85</f>
        <v>Sarana dan prasarana yang mendukung terciptanya suasana akademik yang kondusif:…</v>
      </c>
      <c r="G83" s="399"/>
      <c r="I83" s="4">
        <f>'F 1'!E85</f>
        <v>1.1399999999999999</v>
      </c>
      <c r="J83" s="65">
        <f t="shared" si="3"/>
        <v>0.56999999999999995</v>
      </c>
      <c r="K83" s="65">
        <f>'F 1'!F85</f>
        <v>1</v>
      </c>
    </row>
    <row r="84" spans="1:11" ht="38.25" x14ac:dyDescent="0.25">
      <c r="A84" s="378">
        <v>74</v>
      </c>
      <c r="B84" s="369" t="s">
        <v>131</v>
      </c>
      <c r="C84" s="401">
        <f>'F 1'!F86</f>
        <v>2</v>
      </c>
      <c r="D84" s="431"/>
      <c r="E84" s="434">
        <f t="shared" si="2"/>
        <v>1</v>
      </c>
      <c r="F84" s="372" t="str">
        <f>'F 1'!D86</f>
        <v>Program/kegiatan akademik yang mendukung terciptanya suasana akademik yang kondusif:</v>
      </c>
      <c r="G84" s="399"/>
      <c r="I84" s="4">
        <f>'F 1'!E86</f>
        <v>1.1399999999999999</v>
      </c>
      <c r="J84" s="65">
        <f t="shared" si="3"/>
        <v>1.1399999999999999</v>
      </c>
      <c r="K84" s="65">
        <f>'F 1'!F86</f>
        <v>2</v>
      </c>
    </row>
    <row r="85" spans="1:11" ht="25.5" x14ac:dyDescent="0.25">
      <c r="A85" s="378">
        <v>75</v>
      </c>
      <c r="B85" s="369" t="s">
        <v>133</v>
      </c>
      <c r="C85" s="401">
        <f>'F 1'!F87</f>
        <v>1</v>
      </c>
      <c r="D85" s="431"/>
      <c r="E85" s="434">
        <f t="shared" si="2"/>
        <v>0.5</v>
      </c>
      <c r="F85" s="372" t="str">
        <f>'F 1'!D87</f>
        <v>Bentuk kegiatan interaksi akademik antara dosen dan mahasiswa:</v>
      </c>
      <c r="G85" s="399"/>
      <c r="I85" s="4">
        <f>'F 1'!E87</f>
        <v>0.56999999999999995</v>
      </c>
      <c r="J85" s="65">
        <f t="shared" si="3"/>
        <v>0.28499999999999998</v>
      </c>
      <c r="K85" s="65">
        <f>'F 1'!F87</f>
        <v>1</v>
      </c>
    </row>
    <row r="86" spans="1:11" ht="25.5" x14ac:dyDescent="0.25">
      <c r="A86" s="378">
        <v>76</v>
      </c>
      <c r="B86" s="369" t="s">
        <v>135</v>
      </c>
      <c r="C86" s="401">
        <f>'F 1'!F88</f>
        <v>1</v>
      </c>
      <c r="D86" s="431"/>
      <c r="E86" s="434">
        <f t="shared" si="2"/>
        <v>0.5</v>
      </c>
      <c r="F86" s="372" t="str">
        <f>'F 1'!D88</f>
        <v>Bentuk kegiatan terkait pengembangan perilaku kecendekiawanan antara lain:</v>
      </c>
      <c r="G86" s="399"/>
      <c r="I86" s="4">
        <f>'F 1'!E88</f>
        <v>0.56999999999999995</v>
      </c>
      <c r="J86" s="65">
        <f t="shared" si="3"/>
        <v>0.28499999999999998</v>
      </c>
      <c r="K86" s="65">
        <f>'F 1'!F88</f>
        <v>1</v>
      </c>
    </row>
    <row r="87" spans="1:11" ht="38.25" x14ac:dyDescent="0.25">
      <c r="A87" s="378">
        <v>77</v>
      </c>
      <c r="B87" s="369">
        <v>6.1</v>
      </c>
      <c r="C87" s="401">
        <f>'F 1'!F89</f>
        <v>2</v>
      </c>
      <c r="D87" s="431"/>
      <c r="E87" s="434">
        <f t="shared" si="2"/>
        <v>1</v>
      </c>
      <c r="F87" s="372" t="str">
        <f>'F 1'!D89</f>
        <v>Keterlibatan program studi dalam perencanaan kegiatan dan pengelolaan dana:</v>
      </c>
      <c r="G87" s="399"/>
      <c r="I87" s="4">
        <f>'F 1'!E89</f>
        <v>0.67</v>
      </c>
      <c r="J87" s="65">
        <f t="shared" si="3"/>
        <v>0.67</v>
      </c>
      <c r="K87" s="65">
        <f>'F 1'!F89</f>
        <v>2</v>
      </c>
    </row>
    <row r="88" spans="1:11" ht="63.75" x14ac:dyDescent="0.25">
      <c r="A88" s="378">
        <v>78</v>
      </c>
      <c r="B88" s="369" t="s">
        <v>138</v>
      </c>
      <c r="C88" s="401">
        <f>'F 1'!F90</f>
        <v>1.2071963773696142</v>
      </c>
      <c r="D88" s="431"/>
      <c r="E88" s="434">
        <f t="shared" si="2"/>
        <v>0.60359818868480708</v>
      </c>
      <c r="F88" s="372" t="str">
        <f>'F 1'!D90</f>
        <v>Total dana untuk kegiatan tridarma per tahun = Rp 532 juta. Jumlah seluruh mahasiswa pada TS = 98 orang. Rata-rata besar dana operasional = Rp 005 juta/mahasiswa.</v>
      </c>
      <c r="G88" s="399"/>
      <c r="I88" s="4">
        <f>'F 1'!E90</f>
        <v>1.34</v>
      </c>
      <c r="J88" s="65">
        <f t="shared" si="3"/>
        <v>0.80882157283764156</v>
      </c>
      <c r="K88" s="65">
        <f>'F 1'!F90</f>
        <v>1.2071963773696142</v>
      </c>
    </row>
    <row r="89" spans="1:11" ht="63.75" x14ac:dyDescent="0.25">
      <c r="A89" s="378">
        <v>79</v>
      </c>
      <c r="B89" s="369" t="s">
        <v>139</v>
      </c>
      <c r="C89" s="401">
        <f>'F 1'!F91</f>
        <v>4</v>
      </c>
      <c r="D89" s="431"/>
      <c r="E89" s="434">
        <f t="shared" si="2"/>
        <v>2</v>
      </c>
      <c r="F89" s="372" t="str">
        <f>'F 1'!D91</f>
        <v>Total dana penelitian dalam tiga tahun terakhir = Rp 325 juta. Jumlah dosen tetap dengan keahlian sesuai PS = 6 orang. Rata-rata dana penelitian per dosen per tahun = Rp 018 juta.</v>
      </c>
      <c r="G89" s="399"/>
      <c r="I89" s="4">
        <f>'F 1'!E91</f>
        <v>2.02</v>
      </c>
      <c r="J89" s="65">
        <f t="shared" si="3"/>
        <v>4.04</v>
      </c>
      <c r="K89" s="65">
        <f>'F 1'!F91</f>
        <v>4</v>
      </c>
    </row>
    <row r="90" spans="1:11" ht="51" x14ac:dyDescent="0.25">
      <c r="A90" s="378">
        <v>80</v>
      </c>
      <c r="B90" s="369" t="s">
        <v>141</v>
      </c>
      <c r="C90" s="401">
        <f>'F 1'!F92</f>
        <v>4</v>
      </c>
      <c r="D90" s="431"/>
      <c r="E90" s="434">
        <f t="shared" si="2"/>
        <v>2</v>
      </c>
      <c r="F90" s="372" t="str">
        <f>'F 1'!D92</f>
        <v>Total dana PkM dalam tiga tahun terakhir = Rp 90 juta. Jumlah dosen tetap PS = 7 orang. Rata-rata dana PkM per dosen per tahun = Rp 004 juta.</v>
      </c>
      <c r="G90" s="399"/>
      <c r="I90" s="4">
        <f>'F 1'!E92</f>
        <v>0.67</v>
      </c>
      <c r="J90" s="65">
        <f t="shared" si="3"/>
        <v>1.34</v>
      </c>
      <c r="K90" s="65">
        <f>'F 1'!F92</f>
        <v>4</v>
      </c>
    </row>
    <row r="91" spans="1:11" ht="63.75" x14ac:dyDescent="0.25">
      <c r="A91" s="378">
        <v>81</v>
      </c>
      <c r="B91" s="369" t="s">
        <v>143</v>
      </c>
      <c r="C91" s="401">
        <f>'F 1'!F93</f>
        <v>1.6666666666666667</v>
      </c>
      <c r="D91" s="431"/>
      <c r="E91" s="434">
        <f t="shared" si="2"/>
        <v>0.83333333333333337</v>
      </c>
      <c r="F91" s="372" t="str">
        <f>'F 1'!D93</f>
        <v>Banyaknya dosen tetap dengan bidang sesuai PS = 11 orang, menempati ruang dosen dengan luas total 72 m2. Dengan demikian rasio luas ruang per dosen = 007 m2/dosen.</v>
      </c>
      <c r="G91" s="399"/>
      <c r="I91" s="4">
        <f>'F 1'!E93</f>
        <v>2.02</v>
      </c>
      <c r="J91" s="65">
        <f t="shared" si="3"/>
        <v>1.6833333333333333</v>
      </c>
      <c r="K91" s="65">
        <f>'F 1'!F93</f>
        <v>1.6666666666666667</v>
      </c>
    </row>
    <row r="92" spans="1:11" ht="25.5" x14ac:dyDescent="0.25">
      <c r="A92" s="378">
        <v>82</v>
      </c>
      <c r="B92" s="369" t="s">
        <v>145</v>
      </c>
      <c r="C92" s="401">
        <f>'F 1'!F94</f>
        <v>1</v>
      </c>
      <c r="D92" s="431"/>
      <c r="E92" s="434">
        <f t="shared" si="2"/>
        <v>0.5</v>
      </c>
      <c r="F92" s="372" t="str">
        <f>'F 1'!D94</f>
        <v>Prasarana yang dimiliki/dapat diakses oleh PS: …</v>
      </c>
      <c r="G92" s="399"/>
      <c r="I92" s="4">
        <f>'F 1'!E94</f>
        <v>2.02</v>
      </c>
      <c r="J92" s="65">
        <f t="shared" si="3"/>
        <v>1.01</v>
      </c>
      <c r="K92" s="65">
        <f>'F 1'!F94</f>
        <v>1</v>
      </c>
    </row>
    <row r="93" spans="1:11" ht="25.5" x14ac:dyDescent="0.25">
      <c r="A93" s="378">
        <v>83</v>
      </c>
      <c r="B93" s="369" t="s">
        <v>147</v>
      </c>
      <c r="C93" s="401">
        <f>'F 1'!F95</f>
        <v>3</v>
      </c>
      <c r="D93" s="431"/>
      <c r="E93" s="434">
        <f t="shared" si="2"/>
        <v>1.5</v>
      </c>
      <c r="F93" s="372" t="str">
        <f>'F 1'!D95</f>
        <v>Prasarana lain yang menunjang yang dimiliki/dapat diakses oleh PS: …</v>
      </c>
      <c r="G93" s="399"/>
      <c r="I93" s="4">
        <f>'F 1'!E95</f>
        <v>0.67</v>
      </c>
      <c r="J93" s="65">
        <f t="shared" si="3"/>
        <v>1.0050000000000001</v>
      </c>
      <c r="K93" s="65">
        <f>'F 1'!F95</f>
        <v>3</v>
      </c>
    </row>
    <row r="94" spans="1:11" ht="25.5" x14ac:dyDescent="0.25">
      <c r="A94" s="378">
        <v>84</v>
      </c>
      <c r="B94" s="369" t="s">
        <v>149</v>
      </c>
      <c r="C94" s="401">
        <f>'F 1'!F96</f>
        <v>4</v>
      </c>
      <c r="D94" s="431"/>
      <c r="E94" s="434">
        <f t="shared" si="2"/>
        <v>2</v>
      </c>
      <c r="F94" s="372" t="str">
        <f>'F 1'!D96</f>
        <v>Jumlah pustaka berupa buku teks yang relevan = 1837 judul.</v>
      </c>
      <c r="G94" s="399"/>
      <c r="I94" s="4">
        <f>'F 1'!E96</f>
        <v>0.17</v>
      </c>
      <c r="J94" s="65">
        <f t="shared" si="3"/>
        <v>0.34</v>
      </c>
      <c r="K94" s="65">
        <f>'F 1'!F96</f>
        <v>4</v>
      </c>
    </row>
    <row r="95" spans="1:11" ht="38.25" x14ac:dyDescent="0.25">
      <c r="A95" s="378">
        <v>85</v>
      </c>
      <c r="B95" s="369" t="s">
        <v>151</v>
      </c>
      <c r="C95" s="401">
        <f>'F 1'!F97</f>
        <v>4</v>
      </c>
      <c r="D95" s="431"/>
      <c r="E95" s="434">
        <f t="shared" si="2"/>
        <v>2</v>
      </c>
      <c r="F95" s="372" t="str">
        <f>'F 1'!D97</f>
        <v>Jumlah pustaka berupa disertasi/tesis/skripsi/TA = 208 eksemplar.</v>
      </c>
      <c r="G95" s="399"/>
      <c r="I95" s="4">
        <f>'F 1'!E97</f>
        <v>0.17</v>
      </c>
      <c r="J95" s="65">
        <f t="shared" si="3"/>
        <v>0.34</v>
      </c>
      <c r="K95" s="65">
        <f>'F 1'!F97</f>
        <v>4</v>
      </c>
    </row>
    <row r="96" spans="1:11" ht="25.5" x14ac:dyDescent="0.25">
      <c r="A96" s="378">
        <v>86</v>
      </c>
      <c r="B96" s="369" t="s">
        <v>153</v>
      </c>
      <c r="C96" s="401">
        <f>'F 1'!F98</f>
        <v>0</v>
      </c>
      <c r="D96" s="431"/>
      <c r="E96" s="434">
        <f t="shared" si="2"/>
        <v>0</v>
      </c>
      <c r="F96" s="372" t="str">
        <f>'F 1'!D98</f>
        <v>Jumlah judul jurnal ilmiah terakreditasi Dikti = 0 judul.</v>
      </c>
      <c r="G96" s="399"/>
      <c r="I96" s="4">
        <f>'F 1'!E98</f>
        <v>0.67</v>
      </c>
      <c r="J96" s="65">
        <f t="shared" si="3"/>
        <v>0</v>
      </c>
      <c r="K96" s="65">
        <f>'F 1'!F98</f>
        <v>0</v>
      </c>
    </row>
    <row r="97" spans="1:11" ht="25.5" x14ac:dyDescent="0.25">
      <c r="A97" s="378">
        <v>87</v>
      </c>
      <c r="B97" s="369" t="s">
        <v>155</v>
      </c>
      <c r="C97" s="401">
        <f>'F 1'!F99</f>
        <v>2</v>
      </c>
      <c r="D97" s="431"/>
      <c r="E97" s="434">
        <f t="shared" si="2"/>
        <v>1</v>
      </c>
      <c r="F97" s="372" t="str">
        <f>'F 1'!D99</f>
        <v>Jumlah judul jurnal ilmiah internasional = 1 judul.</v>
      </c>
      <c r="G97" s="399"/>
      <c r="I97" s="4">
        <f>'F 1'!E99</f>
        <v>1.01</v>
      </c>
      <c r="J97" s="65">
        <f t="shared" si="3"/>
        <v>1.01</v>
      </c>
      <c r="K97" s="65">
        <f>'F 1'!F99</f>
        <v>2</v>
      </c>
    </row>
    <row r="98" spans="1:11" x14ac:dyDescent="0.25">
      <c r="A98" s="378">
        <v>88</v>
      </c>
      <c r="B98" s="369" t="s">
        <v>157</v>
      </c>
      <c r="C98" s="401">
        <f>'F 1'!F100</f>
        <v>4</v>
      </c>
      <c r="D98" s="431"/>
      <c r="E98" s="434">
        <f t="shared" si="2"/>
        <v>2</v>
      </c>
      <c r="F98" s="372" t="str">
        <f>'F 1'!D100</f>
        <v>Banyak prosiding seminar = 67 judul.</v>
      </c>
      <c r="G98" s="399"/>
      <c r="I98" s="4">
        <f>'F 1'!E100</f>
        <v>0.17</v>
      </c>
      <c r="J98" s="65">
        <f t="shared" si="3"/>
        <v>0.34</v>
      </c>
      <c r="K98" s="65">
        <f>'F 1'!F100</f>
        <v>4</v>
      </c>
    </row>
    <row r="99" spans="1:11" ht="25.5" x14ac:dyDescent="0.25">
      <c r="A99" s="378">
        <v>89</v>
      </c>
      <c r="B99" s="369" t="s">
        <v>158</v>
      </c>
      <c r="C99" s="401">
        <f>'F 1'!F101</f>
        <v>1</v>
      </c>
      <c r="D99" s="431"/>
      <c r="E99" s="434">
        <f t="shared" si="2"/>
        <v>0.5</v>
      </c>
      <c r="F99" s="372" t="str">
        <f>'F 1'!D101</f>
        <v>Perpustakaan di luar PT yang dapat diakses antara lain: …</v>
      </c>
      <c r="G99" s="399"/>
      <c r="I99" s="4">
        <f>'F 1'!E101</f>
        <v>0.67</v>
      </c>
      <c r="J99" s="65">
        <f t="shared" si="3"/>
        <v>0.33500000000000002</v>
      </c>
      <c r="K99" s="65">
        <f>'F 1'!F101</f>
        <v>1</v>
      </c>
    </row>
    <row r="100" spans="1:11" ht="38.25" x14ac:dyDescent="0.25">
      <c r="A100" s="378">
        <v>90</v>
      </c>
      <c r="B100" s="369" t="s">
        <v>160</v>
      </c>
      <c r="C100" s="401">
        <f>'F 1'!F102</f>
        <v>3</v>
      </c>
      <c r="D100" s="431"/>
      <c r="E100" s="434">
        <f t="shared" si="2"/>
        <v>1.5</v>
      </c>
      <c r="F100" s="372" t="str">
        <f>'F 1'!D102</f>
        <v xml:space="preserve">Ketersediaan, akses dan pendayagunaan sarana utama di laboratorium. </v>
      </c>
      <c r="G100" s="399"/>
      <c r="I100" s="4">
        <f>'F 1'!E102</f>
        <v>1.34</v>
      </c>
      <c r="J100" s="65">
        <f t="shared" si="3"/>
        <v>2.0100000000000002</v>
      </c>
      <c r="K100" s="65">
        <f>'F 1'!F102</f>
        <v>3</v>
      </c>
    </row>
    <row r="101" spans="1:11" ht="25.5" x14ac:dyDescent="0.25">
      <c r="A101" s="378">
        <v>91</v>
      </c>
      <c r="B101" s="369" t="s">
        <v>161</v>
      </c>
      <c r="C101" s="401">
        <f>'F 1'!F103</f>
        <v>1</v>
      </c>
      <c r="D101" s="431"/>
      <c r="E101" s="434">
        <f t="shared" si="2"/>
        <v>0.5</v>
      </c>
      <c r="F101" s="372" t="str">
        <f>'F 1'!D103</f>
        <v>Sistem informasi dan fasilitas yang digunakan PS dalam PBM.</v>
      </c>
      <c r="G101" s="399"/>
      <c r="I101" s="4">
        <f>'F 1'!E103</f>
        <v>1.34</v>
      </c>
      <c r="J101" s="65">
        <f t="shared" si="3"/>
        <v>0.67</v>
      </c>
      <c r="K101" s="65">
        <f>'F 1'!F103</f>
        <v>1</v>
      </c>
    </row>
    <row r="102" spans="1:11" ht="76.5" x14ac:dyDescent="0.25">
      <c r="A102" s="378">
        <v>92</v>
      </c>
      <c r="B102" s="369" t="s">
        <v>162</v>
      </c>
      <c r="C102" s="401">
        <f>'F 1'!F104</f>
        <v>1</v>
      </c>
      <c r="D102" s="431"/>
      <c r="E102" s="434">
        <f t="shared" si="2"/>
        <v>0.5</v>
      </c>
      <c r="F102" s="372" t="str">
        <f>'F 1'!D104</f>
        <v>Persentase jenis data yang dikelola manual =100%, dengan komputer tak terhubung jaringan = 000%, dengan komputer terhubung jaringan lokal = 000%, dan dengan komputer terhubung jaringan luas (internet) = 000%.</v>
      </c>
      <c r="G102" s="399"/>
      <c r="I102" s="4">
        <f>'F 1'!E104</f>
        <v>0.67</v>
      </c>
      <c r="J102" s="65">
        <f t="shared" si="3"/>
        <v>0.33500000000000002</v>
      </c>
      <c r="K102" s="65">
        <f>'F 1'!F104</f>
        <v>1</v>
      </c>
    </row>
    <row r="103" spans="1:11" ht="76.5" x14ac:dyDescent="0.25">
      <c r="A103" s="378">
        <v>93</v>
      </c>
      <c r="B103" s="369" t="s">
        <v>164</v>
      </c>
      <c r="C103" s="401">
        <f>'F 1'!F105</f>
        <v>1.5</v>
      </c>
      <c r="D103" s="431"/>
      <c r="E103" s="434">
        <f t="shared" si="2"/>
        <v>0.75</v>
      </c>
      <c r="F103" s="372" t="str">
        <f>'F 1'!D105</f>
        <v>Penelitian dosen dalam tiga tahun terakhir. Jumlah penelitian dengan biaya LN = 0 judul, biaya luar PT = 0 judul, biaya dari PT/sendiri = 2 judul. Jumlah dosen tetap dengan bidang sesuai PS = 6 orang. Nilai Kasar (NK) = 000</v>
      </c>
      <c r="G103" s="399"/>
      <c r="I103" s="4">
        <f>'F 1'!E105</f>
        <v>3.75</v>
      </c>
      <c r="J103" s="65">
        <f t="shared" si="3"/>
        <v>2.8125</v>
      </c>
      <c r="K103" s="65">
        <f>'F 1'!F105</f>
        <v>1.5</v>
      </c>
    </row>
    <row r="104" spans="1:11" ht="63.75" x14ac:dyDescent="0.25">
      <c r="A104" s="378">
        <v>94</v>
      </c>
      <c r="B104" s="369" t="s">
        <v>166</v>
      </c>
      <c r="C104" s="401">
        <f>'F 1'!F106</f>
        <v>0</v>
      </c>
      <c r="D104" s="431"/>
      <c r="E104" s="434">
        <f t="shared" si="2"/>
        <v>0</v>
      </c>
      <c r="F104" s="372" t="str">
        <f>'F 1'!D106</f>
        <v>Jumlah mahasiswa yang melakukan tugas akhir (TA) = 10 orang. Persentase mahasiswa  tugas akhir yang terlibat dalam penelitian dosen = (0/10) x 100% = 000%.</v>
      </c>
      <c r="G104" s="399"/>
      <c r="I104" s="4">
        <f>'F 1'!E106</f>
        <v>1.88</v>
      </c>
      <c r="J104" s="65">
        <f t="shared" si="3"/>
        <v>0</v>
      </c>
      <c r="K104" s="65">
        <f>'F 1'!F106</f>
        <v>0</v>
      </c>
    </row>
    <row r="105" spans="1:11" ht="102" x14ac:dyDescent="0.25">
      <c r="A105" s="378">
        <v>95</v>
      </c>
      <c r="B105" s="369" t="s">
        <v>168</v>
      </c>
      <c r="C105" s="401">
        <f>'F 1'!F107</f>
        <v>2</v>
      </c>
      <c r="D105" s="431"/>
      <c r="E105" s="434">
        <f t="shared" si="2"/>
        <v>1</v>
      </c>
      <c r="F105" s="372" t="str">
        <f>'F 1'!D107</f>
        <v>Jumlah artikel ilmiah yang dihasilkan dosen tetap yang sesuai bidang selama tiga tahun. Jumlah dosen yang terlibat dalam penulisan artikel internasional = 0 orang,  nasional = 0 orang, dan bersifat lokal = 12 orang. Jumlah dosen tetap dengan bidang sesuai PS = 6 orang. Nilai Kasar (NK) = 002.</v>
      </c>
      <c r="G105" s="399"/>
      <c r="I105" s="4">
        <f>'F 1'!E107</f>
        <v>3.75</v>
      </c>
      <c r="J105" s="65">
        <f t="shared" si="3"/>
        <v>3.75</v>
      </c>
      <c r="K105" s="65">
        <f>'F 1'!F107</f>
        <v>2</v>
      </c>
    </row>
    <row r="106" spans="1:11" ht="38.25" x14ac:dyDescent="0.25">
      <c r="A106" s="378">
        <v>96</v>
      </c>
      <c r="B106" s="369" t="s">
        <v>170</v>
      </c>
      <c r="C106" s="401">
        <f>'F 1'!F108</f>
        <v>2</v>
      </c>
      <c r="D106" s="431"/>
      <c r="E106" s="434">
        <f t="shared" si="2"/>
        <v>1</v>
      </c>
      <c r="F106" s="372" t="str">
        <f>'F 1'!D108</f>
        <v xml:space="preserve">Karya PS/institusi memperoleh perlindungan HaKI dalam 3 tahun terakhir: </v>
      </c>
      <c r="G106" s="399"/>
      <c r="I106" s="4">
        <f>'F 1'!E108</f>
        <v>1.88</v>
      </c>
      <c r="J106" s="65">
        <f t="shared" si="3"/>
        <v>1.88</v>
      </c>
      <c r="K106" s="65">
        <f>'F 1'!F108</f>
        <v>2</v>
      </c>
    </row>
    <row r="107" spans="1:11" ht="114.75" x14ac:dyDescent="0.25">
      <c r="A107" s="378">
        <v>97</v>
      </c>
      <c r="B107" s="369" t="s">
        <v>172</v>
      </c>
      <c r="C107" s="401">
        <f>'F 1'!F109</f>
        <v>3</v>
      </c>
      <c r="D107" s="431"/>
      <c r="E107" s="434">
        <f t="shared" si="2"/>
        <v>1.5</v>
      </c>
      <c r="F107" s="372" t="str">
        <f>'F 1'!D109</f>
        <v>Kegiatan PkM oleh dosen tetap yang bidang keahliannya sama dengan PS selama tiga tahun terakhir. Jumlah kegiatan PkM dengan biaya LN = 0 judul, dengan biaya luar PT = 0 judul, dan dengan biaya PT/sendiri = 4 judul. Jumlah dosen tetap dengan bidang sesuai PS = 6 orang. Nilai Kasar (NK) = 001.</v>
      </c>
      <c r="G107" s="399"/>
      <c r="I107" s="4">
        <f>'F 1'!E109</f>
        <v>1.88</v>
      </c>
      <c r="J107" s="65">
        <f t="shared" si="3"/>
        <v>2.82</v>
      </c>
      <c r="K107" s="65">
        <f>'F 1'!F109</f>
        <v>3</v>
      </c>
    </row>
    <row r="108" spans="1:11" ht="25.5" x14ac:dyDescent="0.25">
      <c r="A108" s="378">
        <v>98</v>
      </c>
      <c r="B108" s="369" t="s">
        <v>174</v>
      </c>
      <c r="C108" s="401">
        <f>'F 1'!F110</f>
        <v>2</v>
      </c>
      <c r="D108" s="431"/>
      <c r="E108" s="434">
        <f t="shared" si="2"/>
        <v>1</v>
      </c>
      <c r="F108" s="372" t="str">
        <f>'F 1'!D110</f>
        <v>Bentuk keterlibatan mahasiswa dalam kegiatan PkM:</v>
      </c>
      <c r="G108" s="399"/>
      <c r="I108" s="4">
        <f>'F 1'!E110</f>
        <v>1.88</v>
      </c>
      <c r="J108" s="65">
        <f t="shared" si="3"/>
        <v>1.88</v>
      </c>
      <c r="K108" s="65">
        <f>'F 1'!F110</f>
        <v>2</v>
      </c>
    </row>
    <row r="109" spans="1:11" ht="25.5" x14ac:dyDescent="0.25">
      <c r="A109" s="378">
        <v>99</v>
      </c>
      <c r="B109" s="369" t="s">
        <v>176</v>
      </c>
      <c r="C109" s="401">
        <f>'F 1'!F111</f>
        <v>1</v>
      </c>
      <c r="D109" s="431"/>
      <c r="E109" s="434">
        <f t="shared" si="2"/>
        <v>0.5</v>
      </c>
      <c r="F109" s="372" t="str">
        <f>'F 1'!D111</f>
        <v>Kegiatan kerjasama dengan instansi di DN dalam tiga tahun terakhir.</v>
      </c>
      <c r="G109" s="399"/>
      <c r="I109" s="4">
        <f>'F 1'!E111</f>
        <v>1.88</v>
      </c>
      <c r="J109" s="65">
        <f t="shared" si="3"/>
        <v>0.94</v>
      </c>
      <c r="K109" s="65">
        <f>'F 1'!F111</f>
        <v>1</v>
      </c>
    </row>
    <row r="110" spans="1:11" ht="26.25" thickBot="1" x14ac:dyDescent="0.3">
      <c r="A110" s="380">
        <v>100</v>
      </c>
      <c r="B110" s="381" t="s">
        <v>178</v>
      </c>
      <c r="C110" s="435">
        <f>'F 1'!F112</f>
        <v>1</v>
      </c>
      <c r="D110" s="432"/>
      <c r="E110" s="436">
        <f t="shared" si="2"/>
        <v>0.5</v>
      </c>
      <c r="F110" s="372" t="str">
        <f>'F 1'!D112</f>
        <v>Kegiatan kerjasama dengan instansi di LN dalam tiga tahun terakhir.</v>
      </c>
      <c r="G110" s="400"/>
      <c r="I110" s="4">
        <f>'F 1'!E112</f>
        <v>1.88</v>
      </c>
      <c r="J110" s="65">
        <f t="shared" si="3"/>
        <v>0.94</v>
      </c>
      <c r="K110" s="65">
        <f>'F 1'!F112</f>
        <v>1</v>
      </c>
    </row>
    <row r="111" spans="1:11" x14ac:dyDescent="0.25">
      <c r="A111" s="598" t="s">
        <v>1073</v>
      </c>
      <c r="B111" s="599"/>
      <c r="C111" s="599"/>
    </row>
    <row r="112" spans="1:11" ht="15.75" x14ac:dyDescent="0.25">
      <c r="A112" s="20"/>
    </row>
    <row r="113" spans="1:8" ht="15.75" customHeight="1" x14ac:dyDescent="0.25">
      <c r="F113" s="348" t="str">
        <f>'F 4'!D112</f>
        <v>Jakarta, 15 Juni 2010</v>
      </c>
      <c r="G113" s="346"/>
      <c r="H113" s="346"/>
    </row>
    <row r="114" spans="1:8" ht="15.75" x14ac:dyDescent="0.25">
      <c r="A114" s="2"/>
    </row>
    <row r="115" spans="1:8" ht="15.75" x14ac:dyDescent="0.25">
      <c r="A115" s="2"/>
    </row>
    <row r="116" spans="1:8" ht="15" customHeight="1" x14ac:dyDescent="0.25">
      <c r="A116" s="430" t="s">
        <v>1090</v>
      </c>
      <c r="B116" s="341"/>
      <c r="C116" s="341"/>
      <c r="F116" s="430" t="s">
        <v>1091</v>
      </c>
    </row>
    <row r="117" spans="1:8" x14ac:dyDescent="0.25">
      <c r="A117" s="341"/>
      <c r="B117" s="341"/>
      <c r="C117" s="341"/>
      <c r="F117" s="385"/>
    </row>
    <row r="118" spans="1:8" x14ac:dyDescent="0.25">
      <c r="A118" s="341"/>
      <c r="B118" s="341"/>
      <c r="C118" s="341"/>
      <c r="F118" s="385"/>
    </row>
    <row r="119" spans="1:8" ht="22.5" customHeight="1" x14ac:dyDescent="0.25">
      <c r="A119" s="385" t="s">
        <v>181</v>
      </c>
      <c r="B119" s="385"/>
      <c r="C119" s="385"/>
      <c r="D119" s="385"/>
      <c r="F119" s="385" t="s">
        <v>181</v>
      </c>
    </row>
    <row r="120" spans="1:8" x14ac:dyDescent="0.25">
      <c r="A120" s="341"/>
      <c r="B120" s="341"/>
      <c r="C120" s="341"/>
      <c r="E120" s="385"/>
      <c r="F120" s="346"/>
    </row>
    <row r="121" spans="1:8" ht="15.75" x14ac:dyDescent="0.25">
      <c r="A121" s="2"/>
    </row>
    <row r="122" spans="1:8" ht="15.75" x14ac:dyDescent="0.25">
      <c r="A122" s="2"/>
    </row>
  </sheetData>
  <mergeCells count="9">
    <mergeCell ref="I8:J10"/>
    <mergeCell ref="C8:E8"/>
    <mergeCell ref="A6:G6"/>
    <mergeCell ref="K8:K10"/>
    <mergeCell ref="A111:C111"/>
    <mergeCell ref="A8:A10"/>
    <mergeCell ref="B8:B10"/>
    <mergeCell ref="F8:F10"/>
    <mergeCell ref="G8:G1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workbookViewId="0">
      <selection activeCell="C11" sqref="C11"/>
    </sheetView>
  </sheetViews>
  <sheetFormatPr defaultRowHeight="15" x14ac:dyDescent="0.25"/>
  <cols>
    <col min="1" max="1" width="5.85546875" customWidth="1"/>
    <col min="2" max="2" width="20.140625" customWidth="1"/>
    <col min="3" max="4" width="6.85546875" style="8" customWidth="1"/>
    <col min="5" max="5" width="7.140625" style="42" customWidth="1"/>
    <col min="6" max="6" width="25.140625" customWidth="1"/>
    <col min="7" max="7" width="18" customWidth="1"/>
    <col min="8" max="8" width="2.140625" customWidth="1"/>
    <col min="9" max="9" width="5.5703125" customWidth="1"/>
    <col min="10" max="10" width="6.85546875" customWidth="1"/>
    <col min="11" max="11" width="10" customWidth="1"/>
  </cols>
  <sheetData>
    <row r="1" spans="1:16" ht="15.75" x14ac:dyDescent="0.25">
      <c r="A1" s="393" t="s">
        <v>1074</v>
      </c>
    </row>
    <row r="2" spans="1:16" ht="15.75" x14ac:dyDescent="0.25">
      <c r="A2" s="1"/>
    </row>
    <row r="3" spans="1:16" ht="15.75" x14ac:dyDescent="0.25">
      <c r="A3" s="614" t="s">
        <v>194</v>
      </c>
      <c r="B3" s="614"/>
      <c r="C3" s="614"/>
      <c r="D3" s="430" t="str">
        <f>'F6'!E3</f>
        <v>: Universitas X</v>
      </c>
    </row>
    <row r="4" spans="1:16" ht="15.75" x14ac:dyDescent="0.25">
      <c r="A4" s="614" t="s">
        <v>195</v>
      </c>
      <c r="B4" s="614"/>
      <c r="C4" s="614"/>
      <c r="D4" s="430" t="str">
        <f>'F6'!E4</f>
        <v>: FMIPA</v>
      </c>
    </row>
    <row r="5" spans="1:16" ht="15.75" x14ac:dyDescent="0.25">
      <c r="A5" s="614" t="s">
        <v>196</v>
      </c>
      <c r="B5" s="614"/>
      <c r="C5" s="614"/>
      <c r="D5" s="430" t="str">
        <f>'F6'!E5</f>
        <v>: Sistem Informasi</v>
      </c>
    </row>
    <row r="6" spans="1:16" s="25" customFormat="1" ht="15.75" x14ac:dyDescent="0.25">
      <c r="A6" s="351"/>
      <c r="B6" s="351"/>
      <c r="C6" s="351"/>
      <c r="D6" s="430"/>
      <c r="E6" s="42"/>
    </row>
    <row r="7" spans="1:16" ht="33.75" customHeight="1" thickBot="1" x14ac:dyDescent="0.3">
      <c r="A7" s="613" t="s">
        <v>1072</v>
      </c>
      <c r="B7" s="613"/>
      <c r="C7" s="613"/>
      <c r="D7" s="613"/>
      <c r="E7" s="613"/>
      <c r="F7" s="613"/>
      <c r="G7" s="613"/>
      <c r="H7" s="346"/>
      <c r="I7" s="346"/>
      <c r="J7" s="346"/>
      <c r="K7" s="346"/>
      <c r="L7" s="346"/>
      <c r="M7" s="346"/>
      <c r="N7" s="346"/>
      <c r="O7" s="346"/>
      <c r="P7" s="346"/>
    </row>
    <row r="8" spans="1:16" ht="22.5" customHeight="1" x14ac:dyDescent="0.25">
      <c r="A8" s="604" t="s">
        <v>1</v>
      </c>
      <c r="B8" s="603" t="s">
        <v>3</v>
      </c>
      <c r="C8" s="603" t="s">
        <v>199</v>
      </c>
      <c r="D8" s="603"/>
      <c r="E8" s="603"/>
      <c r="F8" s="603" t="s">
        <v>303</v>
      </c>
      <c r="G8" s="609" t="s">
        <v>302</v>
      </c>
    </row>
    <row r="9" spans="1:16" ht="57.75" customHeight="1" thickBot="1" x14ac:dyDescent="0.3">
      <c r="A9" s="606"/>
      <c r="B9" s="608"/>
      <c r="C9" s="395" t="s">
        <v>200</v>
      </c>
      <c r="D9" s="395" t="s">
        <v>201</v>
      </c>
      <c r="E9" s="395" t="s">
        <v>202</v>
      </c>
      <c r="F9" s="608"/>
      <c r="G9" s="611"/>
      <c r="I9" s="612" t="s">
        <v>367</v>
      </c>
      <c r="J9" s="612"/>
      <c r="K9" s="56" t="s">
        <v>371</v>
      </c>
    </row>
    <row r="10" spans="1:16" ht="99.75" customHeight="1" x14ac:dyDescent="0.25">
      <c r="A10" s="410">
        <v>1</v>
      </c>
      <c r="B10" s="411" t="s">
        <v>203</v>
      </c>
      <c r="C10" s="412"/>
      <c r="D10" s="412"/>
      <c r="E10" s="413"/>
      <c r="F10" s="414"/>
      <c r="G10" s="415"/>
      <c r="I10" s="45"/>
      <c r="J10" s="45"/>
      <c r="K10" s="45"/>
    </row>
    <row r="11" spans="1:16" ht="157.5" x14ac:dyDescent="0.25">
      <c r="A11" s="408" t="s">
        <v>204</v>
      </c>
      <c r="B11" s="404" t="s">
        <v>205</v>
      </c>
      <c r="C11" s="394">
        <f>'F2'!D14</f>
        <v>2.5</v>
      </c>
      <c r="D11" s="394"/>
      <c r="E11" s="394">
        <f>(C11+D11)/2</f>
        <v>1.25</v>
      </c>
      <c r="F11" s="396">
        <f>'F2'!E14</f>
        <v>0</v>
      </c>
      <c r="G11" s="397"/>
      <c r="I11" s="52">
        <f>'F2'!C14</f>
        <v>12.5</v>
      </c>
      <c r="J11" s="52">
        <f>E11*I11</f>
        <v>15.625</v>
      </c>
      <c r="K11" s="52">
        <f>'F2'!D14</f>
        <v>2.5</v>
      </c>
    </row>
    <row r="12" spans="1:16" ht="129.75" customHeight="1" x14ac:dyDescent="0.25">
      <c r="A12" s="408" t="s">
        <v>206</v>
      </c>
      <c r="B12" s="404" t="s">
        <v>207</v>
      </c>
      <c r="C12" s="394">
        <f>'F2'!D15</f>
        <v>2</v>
      </c>
      <c r="D12" s="394"/>
      <c r="E12" s="394">
        <f>(C12+D12)/2</f>
        <v>1</v>
      </c>
      <c r="F12" s="396">
        <f>'F2'!E15</f>
        <v>0</v>
      </c>
      <c r="G12" s="397"/>
      <c r="I12" s="52">
        <f>'F2'!C15</f>
        <v>12.5</v>
      </c>
      <c r="J12" s="52">
        <f t="shared" ref="J12:J24" si="0">E12*I12</f>
        <v>12.5</v>
      </c>
      <c r="K12" s="52">
        <f>'F2'!D15</f>
        <v>2</v>
      </c>
    </row>
    <row r="13" spans="1:16" ht="96" customHeight="1" x14ac:dyDescent="0.25">
      <c r="A13" s="407">
        <v>2</v>
      </c>
      <c r="B13" s="402" t="s">
        <v>208</v>
      </c>
      <c r="C13" s="403"/>
      <c r="D13" s="403"/>
      <c r="E13" s="403"/>
      <c r="F13" s="422"/>
      <c r="G13" s="423"/>
      <c r="I13" s="52"/>
      <c r="J13" s="52"/>
      <c r="K13" s="52"/>
    </row>
    <row r="14" spans="1:16" ht="80.25" customHeight="1" x14ac:dyDescent="0.25">
      <c r="A14" s="409" t="s">
        <v>204</v>
      </c>
      <c r="B14" s="405" t="s">
        <v>209</v>
      </c>
      <c r="C14" s="394">
        <f>'F2'!D17</f>
        <v>2.5</v>
      </c>
      <c r="D14" s="394"/>
      <c r="E14" s="394">
        <f>(C14+D14)/2</f>
        <v>1.25</v>
      </c>
      <c r="F14" s="396">
        <f>'F2'!E17</f>
        <v>0</v>
      </c>
      <c r="G14" s="424"/>
      <c r="I14" s="52">
        <f>'F2'!C17</f>
        <v>7.5</v>
      </c>
      <c r="J14" s="52">
        <f t="shared" si="0"/>
        <v>9.375</v>
      </c>
      <c r="K14" s="52">
        <f>'F2'!D17</f>
        <v>2.5</v>
      </c>
    </row>
    <row r="15" spans="1:16" ht="99" customHeight="1" x14ac:dyDescent="0.25">
      <c r="A15" s="408" t="s">
        <v>206</v>
      </c>
      <c r="B15" s="404" t="s">
        <v>210</v>
      </c>
      <c r="C15" s="394">
        <f>'F2'!D18</f>
        <v>3</v>
      </c>
      <c r="D15" s="394"/>
      <c r="E15" s="394">
        <f>(C15+D15)/2</f>
        <v>1.5</v>
      </c>
      <c r="F15" s="396">
        <f>'F2'!E18</f>
        <v>0</v>
      </c>
      <c r="G15" s="397"/>
      <c r="I15" s="52">
        <f>'F2'!C18</f>
        <v>7.5</v>
      </c>
      <c r="J15" s="52">
        <f t="shared" si="0"/>
        <v>11.25</v>
      </c>
      <c r="K15" s="52">
        <f>'F2'!D18</f>
        <v>3</v>
      </c>
    </row>
    <row r="16" spans="1:16" ht="66.75" customHeight="1" x14ac:dyDescent="0.25">
      <c r="A16" s="408" t="s">
        <v>211</v>
      </c>
      <c r="B16" s="405" t="s">
        <v>212</v>
      </c>
      <c r="C16" s="394">
        <f>'F2'!D19</f>
        <v>3</v>
      </c>
      <c r="D16" s="394"/>
      <c r="E16" s="394">
        <f>(C16+D16)/2</f>
        <v>1.5</v>
      </c>
      <c r="F16" s="396">
        <f>'F2'!E19</f>
        <v>0</v>
      </c>
      <c r="G16" s="424"/>
      <c r="I16" s="52">
        <f>'F2'!C19</f>
        <v>7.5</v>
      </c>
      <c r="J16" s="52">
        <f t="shared" si="0"/>
        <v>11.25</v>
      </c>
      <c r="K16" s="52">
        <f>'F2'!D19</f>
        <v>3</v>
      </c>
    </row>
    <row r="17" spans="1:11" ht="115.5" customHeight="1" x14ac:dyDescent="0.25">
      <c r="A17" s="408" t="s">
        <v>213</v>
      </c>
      <c r="B17" s="404" t="s">
        <v>214</v>
      </c>
      <c r="C17" s="394">
        <f>'F2'!D20</f>
        <v>3</v>
      </c>
      <c r="D17" s="394"/>
      <c r="E17" s="394">
        <f>(C17+D17)/2</f>
        <v>1.5</v>
      </c>
      <c r="F17" s="396">
        <f>'F2'!E20</f>
        <v>0</v>
      </c>
      <c r="G17" s="397"/>
      <c r="I17" s="52">
        <f>'F2'!C20</f>
        <v>7.5</v>
      </c>
      <c r="J17" s="52">
        <f t="shared" si="0"/>
        <v>11.25</v>
      </c>
      <c r="K17" s="52">
        <f>'F2'!D20</f>
        <v>3</v>
      </c>
    </row>
    <row r="18" spans="1:11" ht="53.25" customHeight="1" x14ac:dyDescent="0.25">
      <c r="A18" s="407">
        <v>3</v>
      </c>
      <c r="B18" s="402" t="s">
        <v>215</v>
      </c>
      <c r="C18" s="403"/>
      <c r="D18" s="403"/>
      <c r="E18" s="403"/>
      <c r="F18" s="422"/>
      <c r="G18" s="423"/>
      <c r="I18" s="52"/>
      <c r="J18" s="52"/>
      <c r="K18" s="52"/>
    </row>
    <row r="19" spans="1:11" ht="86.25" customHeight="1" x14ac:dyDescent="0.25">
      <c r="A19" s="409" t="s">
        <v>204</v>
      </c>
      <c r="B19" s="405" t="s">
        <v>216</v>
      </c>
      <c r="C19" s="394">
        <f>'F2'!D22</f>
        <v>3</v>
      </c>
      <c r="D19" s="406"/>
      <c r="E19" s="406">
        <f>(C19+D19)/2</f>
        <v>1.5</v>
      </c>
      <c r="F19" s="396">
        <f>'F2'!E22</f>
        <v>0</v>
      </c>
      <c r="G19" s="425"/>
      <c r="I19" s="52">
        <f>'F2'!C22</f>
        <v>10</v>
      </c>
      <c r="J19" s="52">
        <f t="shared" si="0"/>
        <v>15</v>
      </c>
      <c r="K19" s="52">
        <f>'F2'!D22</f>
        <v>3</v>
      </c>
    </row>
    <row r="20" spans="1:11" ht="74.25" customHeight="1" x14ac:dyDescent="0.25">
      <c r="A20" s="409" t="s">
        <v>206</v>
      </c>
      <c r="B20" s="405" t="s">
        <v>217</v>
      </c>
      <c r="C20" s="394">
        <f>'F2'!D23</f>
        <v>2.5</v>
      </c>
      <c r="D20" s="394"/>
      <c r="E20" s="406">
        <f>(C20+D20)/2</f>
        <v>1.25</v>
      </c>
      <c r="F20" s="396">
        <f>'F2'!E23</f>
        <v>0</v>
      </c>
      <c r="G20" s="424"/>
      <c r="I20" s="52">
        <f>'F2'!C23</f>
        <v>5</v>
      </c>
      <c r="J20" s="52">
        <f t="shared" si="0"/>
        <v>6.25</v>
      </c>
      <c r="K20" s="52">
        <f>'F2'!D23</f>
        <v>2.5</v>
      </c>
    </row>
    <row r="21" spans="1:11" ht="80.25" customHeight="1" x14ac:dyDescent="0.25">
      <c r="A21" s="409" t="s">
        <v>211</v>
      </c>
      <c r="B21" s="405" t="s">
        <v>218</v>
      </c>
      <c r="C21" s="394">
        <f>'F2'!D24</f>
        <v>2.5</v>
      </c>
      <c r="D21" s="394"/>
      <c r="E21" s="406">
        <f>(C21+D21)/2</f>
        <v>1.25</v>
      </c>
      <c r="F21" s="396">
        <f>'F2'!E24</f>
        <v>0</v>
      </c>
      <c r="G21" s="424"/>
      <c r="I21" s="52">
        <f>'F2'!C24</f>
        <v>5</v>
      </c>
      <c r="J21" s="52">
        <f t="shared" si="0"/>
        <v>6.25</v>
      </c>
      <c r="K21" s="52">
        <f>'F2'!D24</f>
        <v>2.5</v>
      </c>
    </row>
    <row r="22" spans="1:11" ht="67.5" customHeight="1" x14ac:dyDescent="0.25">
      <c r="A22" s="407">
        <v>4</v>
      </c>
      <c r="B22" s="402" t="s">
        <v>219</v>
      </c>
      <c r="C22" s="403"/>
      <c r="D22" s="403"/>
      <c r="E22" s="403"/>
      <c r="F22" s="422"/>
      <c r="G22" s="423"/>
      <c r="I22" s="52"/>
      <c r="J22" s="52"/>
      <c r="K22" s="52">
        <f>'F2'!D25</f>
        <v>0</v>
      </c>
    </row>
    <row r="23" spans="1:11" ht="48" customHeight="1" x14ac:dyDescent="0.25">
      <c r="A23" s="409" t="s">
        <v>204</v>
      </c>
      <c r="B23" s="405" t="s">
        <v>220</v>
      </c>
      <c r="C23" s="394">
        <f>'F2'!D26</f>
        <v>3</v>
      </c>
      <c r="D23" s="394"/>
      <c r="E23" s="394">
        <f>(C23+D23)/2</f>
        <v>1.5</v>
      </c>
      <c r="F23" s="396">
        <f>'F2'!E26</f>
        <v>0</v>
      </c>
      <c r="G23" s="424"/>
      <c r="I23" s="52">
        <f>'F2'!C26</f>
        <v>12.5</v>
      </c>
      <c r="J23" s="52">
        <f t="shared" si="0"/>
        <v>18.75</v>
      </c>
      <c r="K23" s="52">
        <f>'F2'!D26</f>
        <v>3</v>
      </c>
    </row>
    <row r="24" spans="1:11" ht="95.25" customHeight="1" thickBot="1" x14ac:dyDescent="0.3">
      <c r="A24" s="416" t="s">
        <v>206</v>
      </c>
      <c r="B24" s="417" t="s">
        <v>221</v>
      </c>
      <c r="C24" s="418">
        <f>'F2'!D27</f>
        <v>3</v>
      </c>
      <c r="D24" s="418"/>
      <c r="E24" s="418">
        <f>(C24+D24)/2</f>
        <v>1.5</v>
      </c>
      <c r="F24" s="396">
        <f>'F2'!E27</f>
        <v>0</v>
      </c>
      <c r="G24" s="426"/>
      <c r="I24" s="52">
        <f>'F2'!C27</f>
        <v>12.5</v>
      </c>
      <c r="J24" s="52">
        <f t="shared" si="0"/>
        <v>18.75</v>
      </c>
      <c r="K24" s="52">
        <f>'F2'!D27</f>
        <v>3</v>
      </c>
    </row>
    <row r="25" spans="1:11" ht="15.75" customHeight="1" thickBot="1" x14ac:dyDescent="0.3">
      <c r="A25" s="419" t="s">
        <v>222</v>
      </c>
      <c r="B25" s="420"/>
      <c r="C25" s="421">
        <f>SUM(C11:C24)</f>
        <v>30</v>
      </c>
      <c r="D25" s="421">
        <f>SUM(D11:D24)</f>
        <v>0</v>
      </c>
      <c r="E25" s="421">
        <f>SUM(E11:E24)</f>
        <v>15</v>
      </c>
      <c r="F25" s="427"/>
      <c r="G25" s="428"/>
    </row>
    <row r="26" spans="1:11" ht="15.75" customHeight="1" x14ac:dyDescent="0.25">
      <c r="A26" s="20" t="s">
        <v>223</v>
      </c>
    </row>
    <row r="27" spans="1:11" ht="15.75" customHeight="1" x14ac:dyDescent="0.25">
      <c r="F27" s="430" t="str">
        <f>'F6'!F113</f>
        <v>Jakarta, 15 Juni 2010</v>
      </c>
      <c r="G27" s="348"/>
      <c r="H27" s="348"/>
    </row>
    <row r="28" spans="1:11" ht="15.75" x14ac:dyDescent="0.25">
      <c r="A28" s="2"/>
    </row>
    <row r="29" spans="1:11" ht="15" customHeight="1" x14ac:dyDescent="0.25">
      <c r="A29" s="430" t="str">
        <f>'F6'!A116</f>
        <v>Nama Asr-1: Dr. I G.P. Purnaba, DEA</v>
      </c>
      <c r="B29" s="386"/>
      <c r="C29" s="384"/>
      <c r="E29" s="385"/>
      <c r="F29" s="430" t="str">
        <f>'F6'!F116</f>
        <v>Nama Asr-2:</v>
      </c>
    </row>
    <row r="30" spans="1:11" ht="15.75" customHeight="1" x14ac:dyDescent="0.25">
      <c r="A30" s="385"/>
      <c r="B30" s="386"/>
      <c r="C30" s="384"/>
      <c r="E30" s="385"/>
      <c r="F30" s="385"/>
    </row>
    <row r="31" spans="1:11" x14ac:dyDescent="0.25">
      <c r="A31" s="385"/>
      <c r="B31" s="386"/>
      <c r="C31" s="384"/>
      <c r="E31" s="385"/>
      <c r="F31" s="385"/>
    </row>
    <row r="32" spans="1:11" ht="15" customHeight="1" x14ac:dyDescent="0.25">
      <c r="A32" s="385" t="s">
        <v>181</v>
      </c>
      <c r="B32" s="385"/>
      <c r="C32" s="384"/>
      <c r="E32" s="385"/>
      <c r="F32" s="385" t="s">
        <v>181</v>
      </c>
    </row>
    <row r="33" spans="1:7" ht="15.75" customHeight="1" x14ac:dyDescent="0.25">
      <c r="A33" s="385"/>
      <c r="B33" s="385"/>
      <c r="C33" s="384"/>
      <c r="D33" s="385"/>
      <c r="E33" s="385"/>
    </row>
    <row r="34" spans="1:7" ht="15" customHeight="1" x14ac:dyDescent="0.25">
      <c r="A34" s="14"/>
      <c r="B34" s="14"/>
      <c r="C34" s="15"/>
      <c r="D34" s="15"/>
      <c r="E34" s="50"/>
      <c r="F34" s="14"/>
      <c r="G34" s="14"/>
    </row>
    <row r="35" spans="1:7" ht="15.75" customHeight="1" x14ac:dyDescent="0.25">
      <c r="A35" s="14"/>
      <c r="B35" s="21"/>
      <c r="C35" s="24"/>
      <c r="D35" s="24"/>
      <c r="E35" s="30"/>
    </row>
    <row r="36" spans="1:7" ht="15.75" customHeight="1" x14ac:dyDescent="0.25">
      <c r="A36" s="12"/>
      <c r="B36" s="12"/>
      <c r="C36" s="24"/>
      <c r="D36" s="24"/>
      <c r="E36" s="30"/>
    </row>
    <row r="42" spans="1:7" ht="15" customHeight="1" x14ac:dyDescent="0.25"/>
    <row r="45" spans="1:7" ht="30" customHeight="1" x14ac:dyDescent="0.25"/>
    <row r="47" spans="1:7" ht="15.75" x14ac:dyDescent="0.25">
      <c r="A47" s="2"/>
    </row>
    <row r="49" spans="1:1" ht="15.75" x14ac:dyDescent="0.25">
      <c r="A49" s="20"/>
    </row>
  </sheetData>
  <mergeCells count="10">
    <mergeCell ref="I9:J9"/>
    <mergeCell ref="A7:G7"/>
    <mergeCell ref="A3:C3"/>
    <mergeCell ref="A4:C4"/>
    <mergeCell ref="A5:C5"/>
    <mergeCell ref="A8:A9"/>
    <mergeCell ref="B8:B9"/>
    <mergeCell ref="C8:E8"/>
    <mergeCell ref="F8:F9"/>
    <mergeCell ref="G8:G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18</vt:i4>
      </vt:variant>
    </vt:vector>
  </HeadingPairs>
  <TitlesOfParts>
    <vt:vector size="30" baseType="lpstr">
      <vt:lpstr>F 1</vt:lpstr>
      <vt:lpstr>hitung F1</vt:lpstr>
      <vt:lpstr>F2</vt:lpstr>
      <vt:lpstr>F 3</vt:lpstr>
      <vt:lpstr>hitung F3</vt:lpstr>
      <vt:lpstr>F 4</vt:lpstr>
      <vt:lpstr>F5</vt:lpstr>
      <vt:lpstr>F6</vt:lpstr>
      <vt:lpstr>F 7</vt:lpstr>
      <vt:lpstr>F 8</vt:lpstr>
      <vt:lpstr>F 9</vt:lpstr>
      <vt:lpstr>hasil desk&amp;akhir</vt:lpstr>
      <vt:lpstr>'F2'!_Toc206868236</vt:lpstr>
      <vt:lpstr>'F 1'!Print_Area</vt:lpstr>
      <vt:lpstr>'F 3'!Print_Area</vt:lpstr>
      <vt:lpstr>'F 4'!Print_Area</vt:lpstr>
      <vt:lpstr>'F 7'!Print_Area</vt:lpstr>
      <vt:lpstr>'F 8'!Print_Area</vt:lpstr>
      <vt:lpstr>'F 9'!Print_Area</vt:lpstr>
      <vt:lpstr>'F2'!Print_Area</vt:lpstr>
      <vt:lpstr>'F5'!Print_Area</vt:lpstr>
      <vt:lpstr>'F6'!Print_Area</vt:lpstr>
      <vt:lpstr>'F 1'!Print_Titles</vt:lpstr>
      <vt:lpstr>'F 3'!Print_Titles</vt:lpstr>
      <vt:lpstr>'F 4'!Print_Titles</vt:lpstr>
      <vt:lpstr>'F 7'!Print_Titles</vt:lpstr>
      <vt:lpstr>'F 8'!Print_Titles</vt:lpstr>
      <vt:lpstr>'F2'!Print_Titles</vt:lpstr>
      <vt:lpstr>'F5'!Print_Titles</vt:lpstr>
      <vt:lpstr>'F6'!Print_Titles</vt:lpstr>
    </vt:vector>
  </TitlesOfParts>
  <Company>NTU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Radon Dhelika</dc:creator>
  <cp:lastModifiedBy>Anton Rahmadi</cp:lastModifiedBy>
  <cp:lastPrinted>2010-05-30T16:38:59Z</cp:lastPrinted>
  <dcterms:created xsi:type="dcterms:W3CDTF">2009-07-06T01:37:37Z</dcterms:created>
  <dcterms:modified xsi:type="dcterms:W3CDTF">2017-06-22T17:04:21Z</dcterms:modified>
</cp:coreProperties>
</file>